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Shared drives\Monitorimi 2021\Pukë\Përfundimtare\"/>
    </mc:Choice>
  </mc:AlternateContent>
  <xr:revisionPtr revIDLastSave="0" documentId="13_ncr:1_{9E140CF5-48F6-4D6F-AAE2-E408CE8EE2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ksi 1" sheetId="7" r:id="rId1"/>
    <sheet name="Aneksi 2" sheetId="9" r:id="rId2"/>
    <sheet name="Aneksi 3" sheetId="8" r:id="rId3"/>
    <sheet name="Aneksi 4" sheetId="11" r:id="rId4"/>
    <sheet name="Aneksi 5" sheetId="10" r:id="rId5"/>
  </sheets>
  <calcPr calcId="191029"/>
</workbook>
</file>

<file path=xl/calcChain.xml><?xml version="1.0" encoding="utf-8"?>
<calcChain xmlns="http://schemas.openxmlformats.org/spreadsheetml/2006/main">
  <c r="I299" i="11" l="1"/>
  <c r="I298" i="11"/>
  <c r="I289" i="11"/>
  <c r="I288" i="11"/>
  <c r="I287" i="11"/>
  <c r="I276" i="11"/>
  <c r="I275" i="11"/>
  <c r="I255" i="11"/>
  <c r="I254" i="11"/>
  <c r="I242" i="11"/>
  <c r="I220" i="11"/>
  <c r="I180" i="11"/>
  <c r="I177" i="11"/>
  <c r="I176" i="11"/>
  <c r="I118" i="11"/>
  <c r="I103" i="11"/>
  <c r="I75" i="11"/>
  <c r="I60" i="11"/>
  <c r="I25" i="11"/>
  <c r="I24" i="11"/>
  <c r="I23" i="11"/>
  <c r="I22" i="11"/>
  <c r="O381" i="8"/>
  <c r="L381" i="8"/>
  <c r="I381" i="8"/>
  <c r="F381" i="8"/>
  <c r="O208" i="8"/>
  <c r="L208" i="8"/>
  <c r="I208" i="8"/>
  <c r="F208" i="8"/>
  <c r="O364" i="8"/>
  <c r="O363" i="8"/>
  <c r="L364" i="8"/>
  <c r="L363" i="8"/>
  <c r="I364" i="8"/>
  <c r="I363" i="8"/>
  <c r="F364" i="8"/>
  <c r="F363" i="8"/>
  <c r="O346" i="8"/>
  <c r="O345" i="8"/>
  <c r="L346" i="8"/>
  <c r="L345" i="8"/>
  <c r="I346" i="8"/>
  <c r="I345" i="8"/>
  <c r="F346" i="8"/>
  <c r="F345" i="8"/>
  <c r="O328" i="8"/>
  <c r="L328" i="8"/>
  <c r="I328" i="8"/>
  <c r="F328" i="8"/>
  <c r="O311" i="8"/>
  <c r="L311" i="8"/>
  <c r="I311" i="8"/>
  <c r="F311" i="8"/>
  <c r="O294" i="8"/>
  <c r="L294" i="8"/>
  <c r="I294" i="8"/>
  <c r="F294" i="8"/>
  <c r="O277" i="8"/>
  <c r="L277" i="8"/>
  <c r="I277" i="8"/>
  <c r="F277" i="8"/>
  <c r="O260" i="8"/>
  <c r="L260" i="8"/>
  <c r="I260" i="8"/>
  <c r="F260" i="8"/>
  <c r="O243" i="8"/>
  <c r="L243" i="8"/>
  <c r="I243" i="8"/>
  <c r="F243" i="8"/>
  <c r="O226" i="8"/>
  <c r="O225" i="8"/>
  <c r="L226" i="8"/>
  <c r="L225" i="8"/>
  <c r="I226" i="8"/>
  <c r="I225" i="8"/>
  <c r="F226" i="8"/>
  <c r="F225" i="8"/>
  <c r="O207" i="8"/>
  <c r="O206" i="8"/>
  <c r="L207" i="8"/>
  <c r="L206" i="8"/>
  <c r="I207" i="8"/>
  <c r="I206" i="8"/>
  <c r="F207" i="8"/>
  <c r="F206" i="8"/>
  <c r="O189" i="8"/>
  <c r="O188" i="8"/>
  <c r="O187" i="8"/>
  <c r="O186" i="8"/>
  <c r="O185" i="8"/>
  <c r="L189" i="8"/>
  <c r="L188" i="8"/>
  <c r="L187" i="8"/>
  <c r="L186" i="8"/>
  <c r="L185" i="8"/>
  <c r="I189" i="8"/>
  <c r="I188" i="8"/>
  <c r="I187" i="8"/>
  <c r="I186" i="8"/>
  <c r="I185" i="8"/>
  <c r="F189" i="8"/>
  <c r="F188" i="8"/>
  <c r="F187" i="8"/>
  <c r="F186" i="8"/>
  <c r="F185" i="8"/>
  <c r="O168" i="8"/>
  <c r="O167" i="8"/>
  <c r="O166" i="8"/>
  <c r="L168" i="8"/>
  <c r="L167" i="8"/>
  <c r="L166" i="8"/>
  <c r="I168" i="8"/>
  <c r="I167" i="8"/>
  <c r="I166" i="8"/>
  <c r="F168" i="8"/>
  <c r="F167" i="8"/>
  <c r="F166" i="8"/>
  <c r="O149" i="8"/>
  <c r="O148" i="8"/>
  <c r="L149" i="8"/>
  <c r="L148" i="8"/>
  <c r="I149" i="8"/>
  <c r="I148" i="8"/>
  <c r="F149" i="8"/>
  <c r="F148" i="8"/>
  <c r="O131" i="8"/>
  <c r="O130" i="8"/>
  <c r="O129" i="8"/>
  <c r="O128" i="8"/>
  <c r="L131" i="8"/>
  <c r="L130" i="8"/>
  <c r="L129" i="8"/>
  <c r="L128" i="8"/>
  <c r="I131" i="8"/>
  <c r="I130" i="8"/>
  <c r="I129" i="8"/>
  <c r="I128" i="8"/>
  <c r="F131" i="8"/>
  <c r="F130" i="8"/>
  <c r="F129" i="8"/>
  <c r="F128" i="8"/>
  <c r="O111" i="8"/>
  <c r="O110" i="8"/>
  <c r="O109" i="8"/>
  <c r="O108" i="8"/>
  <c r="L111" i="8"/>
  <c r="L110" i="8"/>
  <c r="L109" i="8"/>
  <c r="L108" i="8"/>
  <c r="I111" i="8"/>
  <c r="I110" i="8"/>
  <c r="I109" i="8"/>
  <c r="I108" i="8"/>
  <c r="F111" i="8"/>
  <c r="F110" i="8"/>
  <c r="F109" i="8"/>
  <c r="F108" i="8"/>
  <c r="O91" i="8"/>
  <c r="L91" i="8"/>
  <c r="I91" i="8"/>
  <c r="F91" i="8"/>
  <c r="O74" i="8"/>
  <c r="O73" i="8"/>
  <c r="O72" i="8"/>
  <c r="O71" i="8"/>
  <c r="L74" i="8"/>
  <c r="L73" i="8"/>
  <c r="L72" i="8"/>
  <c r="L71" i="8"/>
  <c r="I74" i="8"/>
  <c r="I73" i="8"/>
  <c r="I72" i="8"/>
  <c r="I71" i="8"/>
  <c r="F74" i="8"/>
  <c r="F73" i="8"/>
  <c r="F72" i="8"/>
  <c r="F71" i="8"/>
  <c r="O54" i="8"/>
  <c r="O53" i="8"/>
  <c r="O52" i="8"/>
  <c r="O51" i="8"/>
  <c r="L54" i="8"/>
  <c r="L53" i="8"/>
  <c r="L52" i="8"/>
  <c r="L51" i="8"/>
  <c r="I54" i="8"/>
  <c r="I53" i="8"/>
  <c r="I52" i="8"/>
  <c r="I51" i="8"/>
  <c r="F54" i="8"/>
  <c r="F53" i="8"/>
  <c r="F52" i="8"/>
  <c r="F51" i="8"/>
  <c r="I34" i="8"/>
  <c r="I33" i="8"/>
  <c r="O34" i="8"/>
  <c r="O33" i="8"/>
  <c r="L34" i="8"/>
  <c r="L33" i="8"/>
  <c r="F34" i="8"/>
  <c r="F33" i="8"/>
  <c r="O16" i="8"/>
  <c r="O15" i="8"/>
  <c r="O14" i="8"/>
  <c r="O13" i="8"/>
  <c r="O12" i="8"/>
  <c r="O11" i="8"/>
  <c r="L16" i="8"/>
  <c r="L15" i="8"/>
  <c r="L14" i="8"/>
  <c r="L13" i="8"/>
  <c r="L12" i="8"/>
  <c r="L11" i="8"/>
  <c r="I16" i="8"/>
  <c r="I15" i="8"/>
  <c r="Q15" i="8" s="1"/>
  <c r="I14" i="8"/>
  <c r="I13" i="8"/>
  <c r="I12" i="8"/>
  <c r="Q12" i="8" s="1"/>
  <c r="I11" i="8"/>
  <c r="F12" i="8"/>
  <c r="F13" i="8"/>
  <c r="F14" i="8"/>
  <c r="F15" i="8"/>
  <c r="P15" i="8" s="1"/>
  <c r="F16" i="8"/>
  <c r="F11" i="8"/>
  <c r="R381" i="8" l="1"/>
  <c r="P381" i="8"/>
  <c r="Q381" i="8"/>
  <c r="R208" i="8"/>
  <c r="P208" i="8"/>
  <c r="Q208" i="8"/>
  <c r="P294" i="8"/>
  <c r="P14" i="8"/>
  <c r="R14" i="8"/>
  <c r="P12" i="8"/>
  <c r="P16" i="8"/>
  <c r="R34" i="8"/>
  <c r="P71" i="8"/>
  <c r="P260" i="8"/>
  <c r="P108" i="8"/>
  <c r="Q72" i="8"/>
  <c r="P149" i="8"/>
  <c r="P243" i="8"/>
  <c r="Q51" i="8"/>
  <c r="Q109" i="8"/>
  <c r="P128" i="8"/>
  <c r="Q188" i="8"/>
  <c r="P91" i="8"/>
  <c r="R91" i="8"/>
  <c r="Q311" i="8"/>
  <c r="P311" i="8"/>
  <c r="R311" i="8"/>
  <c r="Q16" i="8"/>
  <c r="P33" i="8"/>
  <c r="R33" i="8"/>
  <c r="Q52" i="8"/>
  <c r="P52" i="8"/>
  <c r="R74" i="8"/>
  <c r="Q74" i="8"/>
  <c r="P74" i="8"/>
  <c r="Q110" i="8"/>
  <c r="P110" i="8"/>
  <c r="P129" i="8"/>
  <c r="R129" i="8"/>
  <c r="R168" i="8"/>
  <c r="Q168" i="8"/>
  <c r="Q185" i="8"/>
  <c r="P185" i="8"/>
  <c r="Q189" i="8"/>
  <c r="P189" i="8"/>
  <c r="R189" i="8"/>
  <c r="P168" i="8"/>
  <c r="R185" i="8"/>
  <c r="P51" i="8"/>
  <c r="R51" i="8"/>
  <c r="P109" i="8"/>
  <c r="R109" i="8"/>
  <c r="R128" i="8"/>
  <c r="Q128" i="8"/>
  <c r="R345" i="8"/>
  <c r="Q345" i="8"/>
  <c r="P345" i="8"/>
  <c r="R12" i="8"/>
  <c r="Q14" i="8"/>
  <c r="Q34" i="8"/>
  <c r="P34" i="8"/>
  <c r="R53" i="8"/>
  <c r="Q53" i="8"/>
  <c r="P53" i="8"/>
  <c r="R71" i="8"/>
  <c r="Q71" i="8"/>
  <c r="R111" i="8"/>
  <c r="Q111" i="8"/>
  <c r="P111" i="8"/>
  <c r="Q130" i="8"/>
  <c r="P130" i="8"/>
  <c r="R148" i="8"/>
  <c r="Q148" i="8"/>
  <c r="P148" i="8"/>
  <c r="R186" i="8"/>
  <c r="Q186" i="8"/>
  <c r="P186" i="8"/>
  <c r="R52" i="8"/>
  <c r="Q91" i="8"/>
  <c r="R110" i="8"/>
  <c r="Q129" i="8"/>
  <c r="Q73" i="8"/>
  <c r="P73" i="8"/>
  <c r="R167" i="8"/>
  <c r="Q167" i="8"/>
  <c r="P167" i="8"/>
  <c r="P188" i="8"/>
  <c r="R188" i="8"/>
  <c r="R16" i="8"/>
  <c r="R11" i="8"/>
  <c r="R15" i="8"/>
  <c r="R54" i="8"/>
  <c r="Q54" i="8"/>
  <c r="P72" i="8"/>
  <c r="R72" i="8"/>
  <c r="R108" i="8"/>
  <c r="Q108" i="8"/>
  <c r="R131" i="8"/>
  <c r="Q131" i="8"/>
  <c r="P131" i="8"/>
  <c r="R149" i="8"/>
  <c r="Q149" i="8"/>
  <c r="Q166" i="8"/>
  <c r="P166" i="8"/>
  <c r="R166" i="8"/>
  <c r="R187" i="8"/>
  <c r="Q187" i="8"/>
  <c r="P187" i="8"/>
  <c r="Q33" i="8"/>
  <c r="P54" i="8"/>
  <c r="R73" i="8"/>
  <c r="R130" i="8"/>
  <c r="R206" i="8"/>
  <c r="Q206" i="8"/>
  <c r="Q225" i="8"/>
  <c r="P225" i="8"/>
  <c r="R294" i="8"/>
  <c r="Q294" i="8"/>
  <c r="R346" i="8"/>
  <c r="Q346" i="8"/>
  <c r="Q363" i="8"/>
  <c r="P363" i="8"/>
  <c r="P206" i="8"/>
  <c r="R363" i="8"/>
  <c r="P207" i="8"/>
  <c r="R207" i="8"/>
  <c r="R226" i="8"/>
  <c r="Q226" i="8"/>
  <c r="P226" i="8"/>
  <c r="R260" i="8"/>
  <c r="Q260" i="8"/>
  <c r="Q277" i="8"/>
  <c r="P277" i="8"/>
  <c r="Q328" i="8"/>
  <c r="P328" i="8"/>
  <c r="R364" i="8"/>
  <c r="Q364" i="8"/>
  <c r="P364" i="8"/>
  <c r="Q207" i="8"/>
  <c r="R225" i="8"/>
  <c r="R277" i="8"/>
  <c r="R328" i="8"/>
  <c r="R243" i="8"/>
  <c r="Q243" i="8"/>
  <c r="P346" i="8"/>
  <c r="R13" i="8"/>
  <c r="P13" i="8"/>
  <c r="Q13" i="8"/>
  <c r="P11" i="8"/>
  <c r="Q11" i="8"/>
  <c r="H915" i="9"/>
  <c r="G915" i="9"/>
  <c r="F915" i="9"/>
  <c r="E910" i="9" l="1"/>
  <c r="D910" i="9"/>
  <c r="E909" i="9"/>
  <c r="D909" i="9"/>
  <c r="E707" i="9"/>
  <c r="D707" i="9"/>
  <c r="E706" i="9"/>
  <c r="D706" i="9"/>
  <c r="E705" i="9"/>
  <c r="D705" i="9"/>
  <c r="E667" i="9"/>
  <c r="D667" i="9"/>
  <c r="E665" i="9"/>
  <c r="D665" i="9"/>
  <c r="E626" i="9"/>
  <c r="D626" i="9"/>
  <c r="E625" i="9"/>
  <c r="D625" i="9"/>
  <c r="E624" i="9"/>
  <c r="D624" i="9"/>
  <c r="E587" i="9"/>
  <c r="D587" i="9"/>
  <c r="E585" i="9"/>
  <c r="D585" i="9"/>
  <c r="E583" i="9"/>
  <c r="D583" i="9"/>
  <c r="E431" i="9"/>
  <c r="D431" i="9"/>
  <c r="E421" i="9"/>
  <c r="D421" i="9"/>
  <c r="E420" i="9"/>
  <c r="D420" i="9"/>
  <c r="E419" i="9"/>
  <c r="D419" i="9"/>
  <c r="E380" i="9"/>
  <c r="D380" i="9"/>
  <c r="E379" i="9"/>
  <c r="D379" i="9"/>
  <c r="E378" i="9"/>
  <c r="D378" i="9"/>
  <c r="E339" i="9"/>
  <c r="D339" i="9"/>
  <c r="E22" i="9"/>
  <c r="D22" i="9"/>
  <c r="G378" i="9" l="1"/>
  <c r="G379" i="9"/>
  <c r="G380" i="9"/>
  <c r="F380" i="9"/>
  <c r="F378" i="9"/>
  <c r="G997" i="9"/>
  <c r="F997" i="9"/>
  <c r="G909" i="9"/>
  <c r="G910" i="9"/>
  <c r="G911" i="9"/>
  <c r="H911" i="9"/>
  <c r="F911" i="9"/>
  <c r="H909" i="9"/>
  <c r="F909" i="9"/>
  <c r="H910" i="9"/>
  <c r="F910" i="9"/>
  <c r="G705" i="9" l="1"/>
  <c r="G706" i="9"/>
  <c r="G707" i="9"/>
  <c r="F717" i="9"/>
  <c r="H711" i="9"/>
  <c r="G711" i="9"/>
  <c r="F711" i="9"/>
  <c r="H707" i="9"/>
  <c r="F707" i="9"/>
  <c r="H706" i="9"/>
  <c r="F706" i="9"/>
  <c r="H705" i="9"/>
  <c r="F705" i="9"/>
  <c r="G677" i="9"/>
  <c r="H677" i="9"/>
  <c r="F677" i="9"/>
  <c r="G665" i="9"/>
  <c r="G667" i="9"/>
  <c r="H667" i="9"/>
  <c r="F667" i="9"/>
  <c r="F665" i="9"/>
  <c r="G624" i="9"/>
  <c r="G625" i="9"/>
  <c r="G626" i="9"/>
  <c r="H626" i="9"/>
  <c r="F626" i="9"/>
  <c r="F625" i="9"/>
  <c r="H624" i="9"/>
  <c r="F624" i="9"/>
  <c r="G587" i="9"/>
  <c r="H587" i="9"/>
  <c r="F587" i="9"/>
  <c r="G583" i="9"/>
  <c r="G585" i="9"/>
  <c r="F585" i="9"/>
  <c r="H585" i="9"/>
  <c r="F583" i="9"/>
  <c r="G502" i="9"/>
  <c r="F502" i="9"/>
  <c r="H421" i="9"/>
  <c r="G421" i="9"/>
  <c r="F421" i="9"/>
  <c r="G431" i="9"/>
  <c r="F431" i="9"/>
  <c r="H431" i="9"/>
  <c r="G419" i="9"/>
  <c r="G420" i="9"/>
  <c r="H420" i="9"/>
  <c r="F420" i="9"/>
  <c r="H419" i="9"/>
  <c r="F419" i="9"/>
  <c r="H380" i="9"/>
  <c r="F379" i="9"/>
  <c r="H378" i="9"/>
  <c r="G337" i="9"/>
  <c r="G338" i="9"/>
  <c r="G339" i="9"/>
  <c r="H339" i="9"/>
  <c r="F339" i="9"/>
  <c r="H338" i="9"/>
  <c r="F338" i="9"/>
  <c r="H337" i="9"/>
  <c r="F337" i="9"/>
  <c r="G313" i="9"/>
  <c r="G309" i="9"/>
  <c r="G314" i="9" s="1"/>
  <c r="G305" i="9"/>
  <c r="G273" i="9"/>
  <c r="G269" i="9"/>
  <c r="G255" i="9"/>
  <c r="G265" i="9" s="1"/>
  <c r="H273" i="9"/>
  <c r="H269" i="9"/>
  <c r="H265" i="9"/>
  <c r="F255" i="9"/>
  <c r="G132" i="9"/>
  <c r="F132" i="9"/>
  <c r="H102" i="9"/>
  <c r="G102" i="9"/>
  <c r="F102" i="9"/>
  <c r="G92" i="9"/>
  <c r="H92" i="9"/>
  <c r="F92" i="9"/>
  <c r="G22" i="9"/>
  <c r="G12" i="9"/>
  <c r="G11" i="9"/>
  <c r="G10" i="9"/>
  <c r="H22" i="9"/>
  <c r="F22" i="9"/>
  <c r="H12" i="9"/>
  <c r="F12" i="9"/>
  <c r="F11" i="9"/>
  <c r="H10" i="9"/>
  <c r="F10" i="9"/>
  <c r="G274" i="9" l="1"/>
  <c r="H274" i="9"/>
  <c r="H275" i="9" s="1"/>
  <c r="H16" i="7" s="1"/>
  <c r="G315" i="9"/>
  <c r="G17" i="7" s="1"/>
  <c r="G275" i="9"/>
  <c r="G16" i="7" s="1"/>
  <c r="D1040" i="9"/>
  <c r="E1040" i="9"/>
  <c r="F1040" i="9"/>
  <c r="G1040" i="9"/>
  <c r="H1040" i="9"/>
  <c r="C1040" i="9"/>
  <c r="C1048" i="9"/>
  <c r="C1044" i="9"/>
  <c r="C1049" i="9" s="1"/>
  <c r="D1000" i="9"/>
  <c r="E1000" i="9"/>
  <c r="F1000" i="9"/>
  <c r="G1000" i="9"/>
  <c r="H1000" i="9"/>
  <c r="C1000" i="9"/>
  <c r="C1008" i="9"/>
  <c r="C1004" i="9"/>
  <c r="C1009" i="9" s="1"/>
  <c r="D965" i="9"/>
  <c r="D971" i="9" s="1"/>
  <c r="D33" i="7" s="1"/>
  <c r="E965" i="9"/>
  <c r="E971" i="9" s="1"/>
  <c r="E33" i="7" s="1"/>
  <c r="F965" i="9"/>
  <c r="F971" i="9" s="1"/>
  <c r="F33" i="7" s="1"/>
  <c r="G965" i="9"/>
  <c r="G971" i="9" s="1"/>
  <c r="G33" i="7" s="1"/>
  <c r="H965" i="9"/>
  <c r="H971" i="9" s="1"/>
  <c r="H33" i="7" s="1"/>
  <c r="D961" i="9"/>
  <c r="E961" i="9"/>
  <c r="F961" i="9"/>
  <c r="G961" i="9"/>
  <c r="H961" i="9"/>
  <c r="C961" i="9"/>
  <c r="C969" i="9"/>
  <c r="C965" i="9"/>
  <c r="C971" i="9" s="1"/>
  <c r="C33" i="7" s="1"/>
  <c r="D919" i="9"/>
  <c r="E919" i="9"/>
  <c r="F919" i="9"/>
  <c r="G919" i="9"/>
  <c r="H919" i="9"/>
  <c r="C927" i="9"/>
  <c r="C923" i="9"/>
  <c r="C911" i="9"/>
  <c r="C909" i="9"/>
  <c r="C919" i="9" s="1"/>
  <c r="D880" i="9"/>
  <c r="D885" i="9" s="1"/>
  <c r="E880" i="9"/>
  <c r="E885" i="9" s="1"/>
  <c r="F880" i="9"/>
  <c r="F885" i="9" s="1"/>
  <c r="G880" i="9"/>
  <c r="G885" i="9" s="1"/>
  <c r="H880" i="9"/>
  <c r="H885" i="9" s="1"/>
  <c r="D876" i="9"/>
  <c r="E876" i="9"/>
  <c r="F876" i="9"/>
  <c r="G876" i="9"/>
  <c r="H876" i="9"/>
  <c r="C876" i="9"/>
  <c r="C884" i="9"/>
  <c r="C880" i="9"/>
  <c r="C885" i="9" s="1"/>
  <c r="D839" i="9"/>
  <c r="E839" i="9"/>
  <c r="F839" i="9"/>
  <c r="G839" i="9"/>
  <c r="H839" i="9"/>
  <c r="C839" i="9"/>
  <c r="C847" i="9"/>
  <c r="C843" i="9"/>
  <c r="D801" i="9"/>
  <c r="E801" i="9"/>
  <c r="F801" i="9"/>
  <c r="G801" i="9"/>
  <c r="H801" i="9"/>
  <c r="D797" i="9"/>
  <c r="E797" i="9"/>
  <c r="F797" i="9"/>
  <c r="G797" i="9"/>
  <c r="H797" i="9"/>
  <c r="C797" i="9"/>
  <c r="C805" i="9"/>
  <c r="C801" i="9"/>
  <c r="D756" i="9"/>
  <c r="E756" i="9"/>
  <c r="F756" i="9"/>
  <c r="G756" i="9"/>
  <c r="H756" i="9"/>
  <c r="C756" i="9"/>
  <c r="C764" i="9"/>
  <c r="C760" i="9"/>
  <c r="D719" i="9"/>
  <c r="E719" i="9"/>
  <c r="F719" i="9"/>
  <c r="G719" i="9"/>
  <c r="H719" i="9"/>
  <c r="D715" i="9"/>
  <c r="D725" i="9" s="1"/>
  <c r="D27" i="7" s="1"/>
  <c r="E715" i="9"/>
  <c r="F715" i="9"/>
  <c r="G715" i="9"/>
  <c r="H715" i="9"/>
  <c r="H725" i="9" s="1"/>
  <c r="H27" i="7" s="1"/>
  <c r="C723" i="9"/>
  <c r="C717" i="9"/>
  <c r="C719" i="9" s="1"/>
  <c r="C707" i="9"/>
  <c r="C706" i="9"/>
  <c r="C705" i="9"/>
  <c r="D679" i="9"/>
  <c r="E679" i="9"/>
  <c r="F679" i="9"/>
  <c r="G679" i="9"/>
  <c r="H679" i="9"/>
  <c r="D675" i="9"/>
  <c r="E675" i="9"/>
  <c r="E685" i="9" s="1"/>
  <c r="E26" i="7" s="1"/>
  <c r="F675" i="9"/>
  <c r="G675" i="9"/>
  <c r="H675" i="9"/>
  <c r="C683" i="9"/>
  <c r="C679" i="9"/>
  <c r="C667" i="9"/>
  <c r="C675" i="9" s="1"/>
  <c r="D638" i="9"/>
  <c r="E638" i="9"/>
  <c r="F638" i="9"/>
  <c r="G638" i="9"/>
  <c r="H638" i="9"/>
  <c r="D634" i="9"/>
  <c r="E634" i="9"/>
  <c r="F634" i="9"/>
  <c r="G634" i="9"/>
  <c r="H634" i="9"/>
  <c r="C642" i="9"/>
  <c r="C638" i="9"/>
  <c r="C625" i="9"/>
  <c r="C624" i="9"/>
  <c r="C634" i="9" s="1"/>
  <c r="D597" i="9"/>
  <c r="E597" i="9"/>
  <c r="F597" i="9"/>
  <c r="G597" i="9"/>
  <c r="H597" i="9"/>
  <c r="D593" i="9"/>
  <c r="E593" i="9"/>
  <c r="F593" i="9"/>
  <c r="G593" i="9"/>
  <c r="H593" i="9"/>
  <c r="C601" i="9"/>
  <c r="C597" i="9"/>
  <c r="C587" i="9"/>
  <c r="C585" i="9"/>
  <c r="C584" i="9"/>
  <c r="C583" i="9"/>
  <c r="D556" i="9"/>
  <c r="E556" i="9"/>
  <c r="F556" i="9"/>
  <c r="G556" i="9"/>
  <c r="H556" i="9"/>
  <c r="D552" i="9"/>
  <c r="E552" i="9"/>
  <c r="F552" i="9"/>
  <c r="G552" i="9"/>
  <c r="H552" i="9"/>
  <c r="C552" i="9"/>
  <c r="D514" i="9"/>
  <c r="E514" i="9"/>
  <c r="F514" i="9"/>
  <c r="G514" i="9"/>
  <c r="H514" i="9"/>
  <c r="D510" i="9"/>
  <c r="E510" i="9"/>
  <c r="F510" i="9"/>
  <c r="G510" i="9"/>
  <c r="H510" i="9"/>
  <c r="C518" i="9"/>
  <c r="C514" i="9"/>
  <c r="C502" i="9"/>
  <c r="C510" i="9" s="1"/>
  <c r="D433" i="9"/>
  <c r="E433" i="9"/>
  <c r="F433" i="9"/>
  <c r="G433" i="9"/>
  <c r="H433" i="9"/>
  <c r="D429" i="9"/>
  <c r="E429" i="9"/>
  <c r="F429" i="9"/>
  <c r="G429" i="9"/>
  <c r="H429" i="9"/>
  <c r="C437" i="9"/>
  <c r="C431" i="9"/>
  <c r="C433" i="9" s="1"/>
  <c r="C421" i="9"/>
  <c r="C420" i="9"/>
  <c r="C419" i="9"/>
  <c r="D392" i="9"/>
  <c r="E392" i="9"/>
  <c r="F392" i="9"/>
  <c r="G392" i="9"/>
  <c r="H392" i="9"/>
  <c r="D388" i="9"/>
  <c r="E388" i="9"/>
  <c r="F388" i="9"/>
  <c r="G388" i="9"/>
  <c r="H388" i="9"/>
  <c r="C396" i="9"/>
  <c r="C392" i="9"/>
  <c r="C380" i="9"/>
  <c r="C378" i="9"/>
  <c r="D351" i="9"/>
  <c r="E351" i="9"/>
  <c r="F351" i="9"/>
  <c r="G351" i="9"/>
  <c r="H351" i="9"/>
  <c r="D347" i="9"/>
  <c r="E347" i="9"/>
  <c r="F347" i="9"/>
  <c r="G347" i="9"/>
  <c r="H347" i="9"/>
  <c r="C355" i="9"/>
  <c r="C351" i="9"/>
  <c r="C338" i="9"/>
  <c r="C337" i="9"/>
  <c r="D309" i="9"/>
  <c r="D314" i="9" s="1"/>
  <c r="E309" i="9"/>
  <c r="F309" i="9"/>
  <c r="F314" i="9" s="1"/>
  <c r="H309" i="9"/>
  <c r="H314" i="9" s="1"/>
  <c r="D305" i="9"/>
  <c r="D315" i="9" s="1"/>
  <c r="D17" i="7" s="1"/>
  <c r="E305" i="9"/>
  <c r="F305" i="9"/>
  <c r="F315" i="9" s="1"/>
  <c r="F17" i="7" s="1"/>
  <c r="H305" i="9"/>
  <c r="C313" i="9"/>
  <c r="C309" i="9"/>
  <c r="C314" i="9" s="1"/>
  <c r="C305" i="9"/>
  <c r="D269" i="9"/>
  <c r="E269" i="9"/>
  <c r="F269" i="9"/>
  <c r="D265" i="9"/>
  <c r="E265" i="9"/>
  <c r="F265" i="9"/>
  <c r="C273" i="9"/>
  <c r="C269" i="9"/>
  <c r="C265" i="9"/>
  <c r="D224" i="9"/>
  <c r="D234" i="9" s="1"/>
  <c r="D15" i="7" s="1"/>
  <c r="E224" i="9"/>
  <c r="E234" i="9" s="1"/>
  <c r="E15" i="7" s="1"/>
  <c r="F224" i="9"/>
  <c r="F234" i="9" s="1"/>
  <c r="F15" i="7" s="1"/>
  <c r="G224" i="9"/>
  <c r="G234" i="9" s="1"/>
  <c r="G15" i="7" s="1"/>
  <c r="H224" i="9"/>
  <c r="H234" i="9" s="1"/>
  <c r="H15" i="7" s="1"/>
  <c r="C224" i="9"/>
  <c r="C234" i="9" s="1"/>
  <c r="C15" i="7" s="1"/>
  <c r="C232" i="9"/>
  <c r="C228" i="9"/>
  <c r="D186" i="9"/>
  <c r="E186" i="9"/>
  <c r="F186" i="9"/>
  <c r="G186" i="9"/>
  <c r="H186" i="9"/>
  <c r="D182" i="9"/>
  <c r="E182" i="9"/>
  <c r="F182" i="9"/>
  <c r="G182" i="9"/>
  <c r="H182" i="9"/>
  <c r="C190" i="9"/>
  <c r="C186" i="9"/>
  <c r="C174" i="9"/>
  <c r="C182" i="9" s="1"/>
  <c r="E152" i="9"/>
  <c r="E13" i="7" s="1"/>
  <c r="D142" i="9"/>
  <c r="D152" i="9" s="1"/>
  <c r="D13" i="7" s="1"/>
  <c r="E142" i="9"/>
  <c r="F142" i="9"/>
  <c r="F152" i="9" s="1"/>
  <c r="F13" i="7" s="1"/>
  <c r="G142" i="9"/>
  <c r="G152" i="9" s="1"/>
  <c r="G13" i="7" s="1"/>
  <c r="H142" i="9"/>
  <c r="H152" i="9" s="1"/>
  <c r="H13" i="7" s="1"/>
  <c r="C150" i="9"/>
  <c r="C146" i="9"/>
  <c r="C133" i="9"/>
  <c r="C132" i="9"/>
  <c r="D104" i="9"/>
  <c r="D109" i="9" s="1"/>
  <c r="E104" i="9"/>
  <c r="E109" i="9" s="1"/>
  <c r="F104" i="9"/>
  <c r="F109" i="9" s="1"/>
  <c r="G104" i="9"/>
  <c r="G109" i="9" s="1"/>
  <c r="H104" i="9"/>
  <c r="H109" i="9" s="1"/>
  <c r="D100" i="9"/>
  <c r="E100" i="9"/>
  <c r="F100" i="9"/>
  <c r="G100" i="9"/>
  <c r="H100" i="9"/>
  <c r="C100" i="9"/>
  <c r="C108" i="9"/>
  <c r="C104" i="9"/>
  <c r="C109" i="9" s="1"/>
  <c r="E72" i="9"/>
  <c r="E114" i="9" s="1"/>
  <c r="E156" i="9" s="1"/>
  <c r="E196" i="9" s="1"/>
  <c r="E238" i="9" s="1"/>
  <c r="E279" i="9" s="1"/>
  <c r="E319" i="9" s="1"/>
  <c r="E361" i="9" s="1"/>
  <c r="E402" i="9" s="1"/>
  <c r="E443" i="9" s="1"/>
  <c r="E485" i="9" s="1"/>
  <c r="E524" i="9" s="1"/>
  <c r="E566" i="9" s="1"/>
  <c r="E607" i="9" s="1"/>
  <c r="E648" i="9" s="1"/>
  <c r="E689" i="9" s="1"/>
  <c r="E729" i="9" s="1"/>
  <c r="E770" i="9" s="1"/>
  <c r="E811" i="9" s="1"/>
  <c r="E853" i="9" s="1"/>
  <c r="E890" i="9" s="1"/>
  <c r="E933" i="9" s="1"/>
  <c r="E975" i="9" s="1"/>
  <c r="E1014" i="9" s="1"/>
  <c r="E1054" i="9" s="1"/>
  <c r="C72" i="9"/>
  <c r="C114" i="9" s="1"/>
  <c r="C156" i="9" s="1"/>
  <c r="C196" i="9" s="1"/>
  <c r="C238" i="9" s="1"/>
  <c r="C279" i="9" s="1"/>
  <c r="C319" i="9" s="1"/>
  <c r="C361" i="9" s="1"/>
  <c r="C402" i="9" s="1"/>
  <c r="C443" i="9" s="1"/>
  <c r="C485" i="9" s="1"/>
  <c r="C524" i="9" s="1"/>
  <c r="C566" i="9" s="1"/>
  <c r="C607" i="9" s="1"/>
  <c r="C648" i="9" s="1"/>
  <c r="C689" i="9" s="1"/>
  <c r="C729" i="9" s="1"/>
  <c r="C770" i="9" s="1"/>
  <c r="C811" i="9" s="1"/>
  <c r="C853" i="9" s="1"/>
  <c r="C890" i="9" s="1"/>
  <c r="C933" i="9" s="1"/>
  <c r="C975" i="9" s="1"/>
  <c r="C1014" i="9" s="1"/>
  <c r="C1054" i="9" s="1"/>
  <c r="D59" i="9"/>
  <c r="E59" i="9"/>
  <c r="F59" i="9"/>
  <c r="G59" i="9"/>
  <c r="H59" i="9"/>
  <c r="C67" i="9"/>
  <c r="C63" i="9"/>
  <c r="C59" i="9"/>
  <c r="D20" i="9"/>
  <c r="E20" i="9"/>
  <c r="F20" i="9"/>
  <c r="G20" i="9"/>
  <c r="H20" i="9"/>
  <c r="C28" i="9"/>
  <c r="C22" i="9"/>
  <c r="C24" i="9" s="1"/>
  <c r="C29" i="9" s="1"/>
  <c r="C12" i="9"/>
  <c r="C11" i="9"/>
  <c r="C10" i="9"/>
  <c r="E886" i="9" l="1"/>
  <c r="E31" i="7" s="1"/>
  <c r="E398" i="9"/>
  <c r="E19" i="7" s="1"/>
  <c r="C1010" i="9"/>
  <c r="C34" i="7" s="1"/>
  <c r="C438" i="9"/>
  <c r="C191" i="9"/>
  <c r="C192" i="9"/>
  <c r="C14" i="7" s="1"/>
  <c r="C684" i="9"/>
  <c r="C849" i="9"/>
  <c r="C30" i="7" s="1"/>
  <c r="C886" i="9"/>
  <c r="C31" i="7" s="1"/>
  <c r="H886" i="9"/>
  <c r="H31" i="7" s="1"/>
  <c r="D886" i="9"/>
  <c r="D31" i="7" s="1"/>
  <c r="C929" i="9"/>
  <c r="C32" i="7" s="1"/>
  <c r="C274" i="9"/>
  <c r="C315" i="9"/>
  <c r="C17" i="7" s="1"/>
  <c r="C347" i="9"/>
  <c r="C357" i="9" s="1"/>
  <c r="C18" i="7" s="1"/>
  <c r="H357" i="9"/>
  <c r="H18" i="7" s="1"/>
  <c r="D357" i="9"/>
  <c r="D18" i="7" s="1"/>
  <c r="C397" i="9"/>
  <c r="F398" i="9"/>
  <c r="F19" i="7" s="1"/>
  <c r="E439" i="9"/>
  <c r="E20" i="7" s="1"/>
  <c r="E603" i="9"/>
  <c r="E24" i="7" s="1"/>
  <c r="C766" i="9"/>
  <c r="C28" i="7" s="1"/>
  <c r="C20" i="9"/>
  <c r="C30" i="9" s="1"/>
  <c r="C10" i="7" s="1"/>
  <c r="C519" i="9"/>
  <c r="C520" i="9" s="1"/>
  <c r="C22" i="7" s="1"/>
  <c r="C1050" i="9"/>
  <c r="C35" i="7" s="1"/>
  <c r="C110" i="9"/>
  <c r="C12" i="7" s="1"/>
  <c r="C356" i="9"/>
  <c r="C388" i="9"/>
  <c r="C398" i="9" s="1"/>
  <c r="C19" i="7" s="1"/>
  <c r="H603" i="9"/>
  <c r="H24" i="7" s="1"/>
  <c r="D603" i="9"/>
  <c r="D24" i="7" s="1"/>
  <c r="C643" i="9"/>
  <c r="C724" i="9"/>
  <c r="C806" i="9"/>
  <c r="C807" i="9" s="1"/>
  <c r="C29" i="7" s="1"/>
  <c r="C69" i="9"/>
  <c r="C11" i="7" s="1"/>
  <c r="C644" i="9"/>
  <c r="C25" i="7" s="1"/>
  <c r="G886" i="9"/>
  <c r="G31" i="7" s="1"/>
  <c r="C275" i="9"/>
  <c r="C16" i="7" s="1"/>
  <c r="C429" i="9"/>
  <c r="C439" i="9" s="1"/>
  <c r="C20" i="7" s="1"/>
  <c r="G439" i="9"/>
  <c r="G20" i="7" s="1"/>
  <c r="G603" i="9"/>
  <c r="G24" i="7" s="1"/>
  <c r="H644" i="9"/>
  <c r="H25" i="7" s="1"/>
  <c r="E644" i="9"/>
  <c r="E25" i="7" s="1"/>
  <c r="C715" i="9"/>
  <c r="C725" i="9" s="1"/>
  <c r="C27" i="7" s="1"/>
  <c r="F886" i="9"/>
  <c r="F31" i="7" s="1"/>
  <c r="C142" i="9"/>
  <c r="C152" i="9" s="1"/>
  <c r="C13" i="7" s="1"/>
  <c r="E357" i="9"/>
  <c r="E18" i="7" s="1"/>
  <c r="C593" i="9"/>
  <c r="C603" i="9" s="1"/>
  <c r="C24" i="7" s="1"/>
  <c r="F603" i="9"/>
  <c r="F24" i="7" s="1"/>
  <c r="G644" i="9"/>
  <c r="G25" i="7" s="1"/>
  <c r="C685" i="9"/>
  <c r="C26" i="7" s="1"/>
  <c r="F725" i="9"/>
  <c r="F27" i="7" s="1"/>
  <c r="D685" i="9"/>
  <c r="D26" i="7" s="1"/>
  <c r="D644" i="9"/>
  <c r="D25" i="7" s="1"/>
  <c r="D439" i="9"/>
  <c r="D20" i="7" s="1"/>
  <c r="D398" i="9"/>
  <c r="D19" i="7" s="1"/>
  <c r="E315" i="9"/>
  <c r="E17" i="7" s="1"/>
  <c r="E110" i="9"/>
  <c r="E12" i="7" s="1"/>
  <c r="G725" i="9"/>
  <c r="G27" i="7" s="1"/>
  <c r="F685" i="9"/>
  <c r="F26" i="7" s="1"/>
  <c r="G685" i="9"/>
  <c r="G26" i="7" s="1"/>
  <c r="F644" i="9"/>
  <c r="F25" i="7" s="1"/>
  <c r="F439" i="9"/>
  <c r="F20" i="7" s="1"/>
  <c r="H398" i="9"/>
  <c r="H19" i="7" s="1"/>
  <c r="E725" i="9"/>
  <c r="E27" i="7" s="1"/>
  <c r="H685" i="9"/>
  <c r="H26" i="7" s="1"/>
  <c r="H439" i="9"/>
  <c r="H20" i="7" s="1"/>
  <c r="G398" i="9"/>
  <c r="G19" i="7" s="1"/>
  <c r="G357" i="9"/>
  <c r="G18" i="7" s="1"/>
  <c r="F357" i="9"/>
  <c r="F18" i="7" s="1"/>
  <c r="H315" i="9"/>
  <c r="H17" i="7" s="1"/>
  <c r="E314" i="9"/>
  <c r="H110" i="9"/>
  <c r="H12" i="7" s="1"/>
  <c r="D110" i="9"/>
  <c r="D12" i="7" s="1"/>
  <c r="G110" i="9"/>
  <c r="G12" i="7" s="1"/>
  <c r="F110" i="9"/>
  <c r="F12" i="7" s="1"/>
  <c r="E192" i="9" l="1"/>
  <c r="E14" i="7" s="1"/>
  <c r="F192" i="9"/>
  <c r="F14" i="7" s="1"/>
  <c r="G192" i="9"/>
  <c r="G14" i="7" s="1"/>
  <c r="H192" i="9"/>
  <c r="H14" i="7" s="1"/>
  <c r="D192" i="9"/>
  <c r="D14" i="7" s="1"/>
  <c r="I964" i="9" l="1"/>
  <c r="I965" i="9"/>
  <c r="I966" i="9"/>
  <c r="I967" i="9"/>
  <c r="I968" i="9"/>
  <c r="I970" i="9"/>
  <c r="I802" i="9"/>
  <c r="I803" i="9"/>
  <c r="I804" i="9"/>
  <c r="I800" i="9"/>
  <c r="I801" i="9"/>
  <c r="D805" i="9"/>
  <c r="D806" i="9" s="1"/>
  <c r="D807" i="9" s="1"/>
  <c r="D29" i="7" s="1"/>
  <c r="E805" i="9"/>
  <c r="E806" i="9" s="1"/>
  <c r="E807" i="9" s="1"/>
  <c r="E29" i="7" s="1"/>
  <c r="F805" i="9"/>
  <c r="F806" i="9" s="1"/>
  <c r="F807" i="9" s="1"/>
  <c r="F29" i="7" s="1"/>
  <c r="G805" i="9"/>
  <c r="G806" i="9" s="1"/>
  <c r="G807" i="9" s="1"/>
  <c r="G29" i="7" s="1"/>
  <c r="H805" i="9"/>
  <c r="H806" i="9" s="1"/>
  <c r="H807" i="9" s="1"/>
  <c r="H29" i="7" s="1"/>
  <c r="I756" i="9"/>
  <c r="G24" i="9"/>
  <c r="H24" i="9"/>
  <c r="I1049" i="9"/>
  <c r="I1048" i="9"/>
  <c r="H1048" i="9"/>
  <c r="G1048" i="9"/>
  <c r="F1048" i="9"/>
  <c r="E1048" i="9"/>
  <c r="D1048" i="9"/>
  <c r="I1047" i="9"/>
  <c r="I1046" i="9"/>
  <c r="I1045" i="9"/>
  <c r="I1044" i="9"/>
  <c r="H1044" i="9"/>
  <c r="H1050" i="9" s="1"/>
  <c r="H35" i="7" s="1"/>
  <c r="G1044" i="9"/>
  <c r="G1050" i="9" s="1"/>
  <c r="G35" i="7" s="1"/>
  <c r="F1044" i="9"/>
  <c r="F1050" i="9" s="1"/>
  <c r="F35" i="7" s="1"/>
  <c r="E1044" i="9"/>
  <c r="E1050" i="9" s="1"/>
  <c r="E35" i="7" s="1"/>
  <c r="D1044" i="9"/>
  <c r="D1050" i="9" s="1"/>
  <c r="D35" i="7" s="1"/>
  <c r="I1043" i="9"/>
  <c r="I1042" i="9"/>
  <c r="I1041" i="9"/>
  <c r="I1040" i="9"/>
  <c r="I1039" i="9"/>
  <c r="I1038" i="9"/>
  <c r="I1037" i="9"/>
  <c r="I1036" i="9"/>
  <c r="I1035" i="9"/>
  <c r="I1034" i="9"/>
  <c r="I1033" i="9"/>
  <c r="I1032" i="9"/>
  <c r="I1031" i="9"/>
  <c r="I1030" i="9"/>
  <c r="I1008" i="9"/>
  <c r="H1008" i="9"/>
  <c r="G1008" i="9"/>
  <c r="F1008" i="9"/>
  <c r="E1008" i="9"/>
  <c r="D1008" i="9"/>
  <c r="I1007" i="9"/>
  <c r="I1006" i="9"/>
  <c r="I1005" i="9"/>
  <c r="I1004" i="9"/>
  <c r="I1009" i="9" s="1"/>
  <c r="H1004" i="9"/>
  <c r="H1009" i="9" s="1"/>
  <c r="H1010" i="9" s="1"/>
  <c r="H34" i="7" s="1"/>
  <c r="G1004" i="9"/>
  <c r="G1009" i="9" s="1"/>
  <c r="G1010" i="9" s="1"/>
  <c r="G34" i="7" s="1"/>
  <c r="F1004" i="9"/>
  <c r="F1009" i="9" s="1"/>
  <c r="F1010" i="9" s="1"/>
  <c r="F34" i="7" s="1"/>
  <c r="E1004" i="9"/>
  <c r="E1009" i="9" s="1"/>
  <c r="E1010" i="9" s="1"/>
  <c r="E34" i="7" s="1"/>
  <c r="D1004" i="9"/>
  <c r="D1009" i="9" s="1"/>
  <c r="D1010" i="9" s="1"/>
  <c r="D34" i="7" s="1"/>
  <c r="I1003" i="9"/>
  <c r="I1002" i="9"/>
  <c r="I1001" i="9"/>
  <c r="I999" i="9"/>
  <c r="I998" i="9"/>
  <c r="I997" i="9"/>
  <c r="I996" i="9"/>
  <c r="I995" i="9"/>
  <c r="I994" i="9"/>
  <c r="I993" i="9"/>
  <c r="I992" i="9"/>
  <c r="I991" i="9"/>
  <c r="I990" i="9"/>
  <c r="I1050" i="9" l="1"/>
  <c r="I35" i="7" s="1"/>
  <c r="I1000" i="9"/>
  <c r="I1010" i="9" s="1"/>
  <c r="I34" i="7" s="1"/>
  <c r="I807" i="9"/>
  <c r="I29" i="7" s="1"/>
  <c r="I971" i="9"/>
  <c r="I33" i="7" s="1"/>
  <c r="I805" i="9"/>
  <c r="I806" i="9"/>
  <c r="G29" i="9"/>
  <c r="G30" i="9"/>
  <c r="G10" i="7" s="1"/>
  <c r="H29" i="9"/>
  <c r="H30" i="9"/>
  <c r="H10" i="7" s="1"/>
  <c r="I285" i="11" l="1"/>
  <c r="I274" i="11"/>
  <c r="I273" i="11"/>
  <c r="I264" i="11"/>
  <c r="I253" i="11"/>
  <c r="I244" i="11"/>
  <c r="I241" i="11"/>
  <c r="I239" i="11"/>
  <c r="I230" i="11"/>
  <c r="I229" i="11"/>
  <c r="I228" i="11"/>
  <c r="I219" i="11"/>
  <c r="I210" i="11"/>
  <c r="I201" i="11"/>
  <c r="I192" i="11"/>
  <c r="I191" i="11"/>
  <c r="I190" i="11"/>
  <c r="I189" i="11"/>
  <c r="I188" i="11"/>
  <c r="I179" i="11"/>
  <c r="I175" i="11"/>
  <c r="I174" i="11"/>
  <c r="I165" i="11"/>
  <c r="I164" i="11"/>
  <c r="I163" i="11"/>
  <c r="I162" i="11"/>
  <c r="I161" i="11"/>
  <c r="I160" i="11"/>
  <c r="I159" i="11"/>
  <c r="I158" i="11"/>
  <c r="I149" i="11"/>
  <c r="I148" i="11"/>
  <c r="I147" i="11"/>
  <c r="I146" i="11"/>
  <c r="I145" i="11"/>
  <c r="I136" i="11"/>
  <c r="I135" i="11"/>
  <c r="I133" i="11"/>
  <c r="I132" i="11"/>
  <c r="I131" i="11"/>
  <c r="I130" i="11"/>
  <c r="I129" i="11"/>
  <c r="I120" i="11"/>
  <c r="I119" i="11"/>
  <c r="I117" i="11"/>
  <c r="I116" i="11"/>
  <c r="I115" i="11"/>
  <c r="I114" i="11"/>
  <c r="I105" i="11"/>
  <c r="I104" i="11"/>
  <c r="I102" i="11"/>
  <c r="I101" i="11"/>
  <c r="I100" i="11"/>
  <c r="I99" i="11"/>
  <c r="I98" i="11"/>
  <c r="I89" i="11"/>
  <c r="I88" i="11"/>
  <c r="I79" i="11"/>
  <c r="I78" i="11"/>
  <c r="I76" i="11"/>
  <c r="I74" i="11"/>
  <c r="I73" i="11"/>
  <c r="I72" i="11"/>
  <c r="I71" i="11"/>
  <c r="I62" i="11"/>
  <c r="I61" i="11"/>
  <c r="I59" i="11"/>
  <c r="I58" i="11"/>
  <c r="I57" i="11"/>
  <c r="I56" i="11"/>
  <c r="I47" i="11"/>
  <c r="I38" i="11"/>
  <c r="I37" i="11"/>
  <c r="I36" i="11"/>
  <c r="I35" i="11"/>
  <c r="I26" i="11"/>
  <c r="I21" i="11"/>
  <c r="I20" i="11"/>
  <c r="I19" i="11"/>
  <c r="I18" i="11"/>
  <c r="I17" i="11"/>
  <c r="I15" i="11"/>
  <c r="I13" i="11"/>
  <c r="I12" i="11"/>
  <c r="I11" i="11"/>
  <c r="H969" i="9"/>
  <c r="G969" i="9"/>
  <c r="F969" i="9"/>
  <c r="E969" i="9"/>
  <c r="D969" i="9"/>
  <c r="I963" i="9"/>
  <c r="I962" i="9"/>
  <c r="I961" i="9"/>
  <c r="I960" i="9"/>
  <c r="I959" i="9"/>
  <c r="I958" i="9"/>
  <c r="I957" i="9"/>
  <c r="I956" i="9"/>
  <c r="I955" i="9"/>
  <c r="I954" i="9"/>
  <c r="I953" i="9"/>
  <c r="I952" i="9"/>
  <c r="I951" i="9"/>
  <c r="I928" i="9"/>
  <c r="I927" i="9"/>
  <c r="H927" i="9"/>
  <c r="G927" i="9"/>
  <c r="F927" i="9"/>
  <c r="E927" i="9"/>
  <c r="D927" i="9"/>
  <c r="I926" i="9"/>
  <c r="I925" i="9"/>
  <c r="I924" i="9"/>
  <c r="I923" i="9"/>
  <c r="H923" i="9"/>
  <c r="H929" i="9" s="1"/>
  <c r="H32" i="7" s="1"/>
  <c r="G923" i="9"/>
  <c r="G929" i="9" s="1"/>
  <c r="G32" i="7" s="1"/>
  <c r="F923" i="9"/>
  <c r="F929" i="9" s="1"/>
  <c r="F32" i="7" s="1"/>
  <c r="E923" i="9"/>
  <c r="E929" i="9" s="1"/>
  <c r="E32" i="7" s="1"/>
  <c r="D923" i="9"/>
  <c r="D929" i="9" s="1"/>
  <c r="D32" i="7" s="1"/>
  <c r="I922" i="9"/>
  <c r="I921" i="9"/>
  <c r="I920" i="9"/>
  <c r="I919" i="9"/>
  <c r="I918" i="9"/>
  <c r="I917" i="9"/>
  <c r="I916" i="9"/>
  <c r="I915" i="9"/>
  <c r="I914" i="9"/>
  <c r="I913" i="9"/>
  <c r="I912" i="9"/>
  <c r="I911" i="9"/>
  <c r="I910" i="9"/>
  <c r="I909" i="9"/>
  <c r="I886" i="9"/>
  <c r="I31" i="7" s="1"/>
  <c r="I885" i="9"/>
  <c r="I884" i="9"/>
  <c r="H884" i="9"/>
  <c r="G884" i="9"/>
  <c r="F884" i="9"/>
  <c r="E884" i="9"/>
  <c r="D884" i="9"/>
  <c r="I883" i="9"/>
  <c r="I882" i="9"/>
  <c r="I881" i="9"/>
  <c r="I880" i="9"/>
  <c r="I879" i="9"/>
  <c r="I878" i="9"/>
  <c r="I877" i="9"/>
  <c r="I875" i="9"/>
  <c r="I874" i="9"/>
  <c r="I873" i="9"/>
  <c r="I872" i="9"/>
  <c r="I871" i="9"/>
  <c r="I870" i="9"/>
  <c r="I869" i="9"/>
  <c r="I868" i="9"/>
  <c r="I867" i="9"/>
  <c r="I866" i="9"/>
  <c r="I848" i="9"/>
  <c r="I847" i="9"/>
  <c r="H847" i="9"/>
  <c r="G847" i="9"/>
  <c r="F847" i="9"/>
  <c r="E847" i="9"/>
  <c r="D847" i="9"/>
  <c r="I846" i="9"/>
  <c r="I845" i="9"/>
  <c r="I844" i="9"/>
  <c r="I843" i="9"/>
  <c r="H843" i="9"/>
  <c r="H849" i="9" s="1"/>
  <c r="H30" i="7" s="1"/>
  <c r="G843" i="9"/>
  <c r="G849" i="9" s="1"/>
  <c r="G30" i="7" s="1"/>
  <c r="F843" i="9"/>
  <c r="F849" i="9" s="1"/>
  <c r="F30" i="7" s="1"/>
  <c r="E843" i="9"/>
  <c r="E849" i="9" s="1"/>
  <c r="E30" i="7" s="1"/>
  <c r="D843" i="9"/>
  <c r="D849" i="9" s="1"/>
  <c r="D30" i="7" s="1"/>
  <c r="I842" i="9"/>
  <c r="I841" i="9"/>
  <c r="I840" i="9"/>
  <c r="I839" i="9"/>
  <c r="I838" i="9"/>
  <c r="I837" i="9"/>
  <c r="I836" i="9"/>
  <c r="I835" i="9"/>
  <c r="I834" i="9"/>
  <c r="I833" i="9"/>
  <c r="I832" i="9"/>
  <c r="I831" i="9"/>
  <c r="I830" i="9"/>
  <c r="I829" i="9"/>
  <c r="I799" i="9"/>
  <c r="I798" i="9"/>
  <c r="I797" i="9"/>
  <c r="I796" i="9"/>
  <c r="I795" i="9"/>
  <c r="I794" i="9"/>
  <c r="I793" i="9"/>
  <c r="I792" i="9"/>
  <c r="I791" i="9"/>
  <c r="I790" i="9"/>
  <c r="I789" i="9"/>
  <c r="I788" i="9"/>
  <c r="I787" i="9"/>
  <c r="I765" i="9"/>
  <c r="I764" i="9"/>
  <c r="H764" i="9"/>
  <c r="H766" i="9" s="1"/>
  <c r="H28" i="7" s="1"/>
  <c r="G764" i="9"/>
  <c r="G766" i="9" s="1"/>
  <c r="G28" i="7" s="1"/>
  <c r="F764" i="9"/>
  <c r="F766" i="9" s="1"/>
  <c r="F28" i="7" s="1"/>
  <c r="E764" i="9"/>
  <c r="E766" i="9" s="1"/>
  <c r="E28" i="7" s="1"/>
  <c r="D764" i="9"/>
  <c r="D766" i="9" s="1"/>
  <c r="D28" i="7" s="1"/>
  <c r="I763" i="9"/>
  <c r="I762" i="9"/>
  <c r="I761" i="9"/>
  <c r="I760" i="9"/>
  <c r="H760" i="9"/>
  <c r="G760" i="9"/>
  <c r="F760" i="9"/>
  <c r="E760" i="9"/>
  <c r="D760" i="9"/>
  <c r="I759" i="9"/>
  <c r="I758" i="9"/>
  <c r="I757" i="9"/>
  <c r="I755" i="9"/>
  <c r="I754" i="9"/>
  <c r="I753" i="9"/>
  <c r="I752" i="9"/>
  <c r="I751" i="9"/>
  <c r="I750" i="9"/>
  <c r="I749" i="9"/>
  <c r="I748" i="9"/>
  <c r="I747" i="9"/>
  <c r="I746" i="9"/>
  <c r="I723" i="9"/>
  <c r="H723" i="9"/>
  <c r="H724" i="9" s="1"/>
  <c r="G723" i="9"/>
  <c r="G724" i="9" s="1"/>
  <c r="F723" i="9"/>
  <c r="F724" i="9" s="1"/>
  <c r="E723" i="9"/>
  <c r="E724" i="9" s="1"/>
  <c r="D723" i="9"/>
  <c r="D724" i="9" s="1"/>
  <c r="I722" i="9"/>
  <c r="I721" i="9"/>
  <c r="I720" i="9"/>
  <c r="I719" i="9"/>
  <c r="I718" i="9"/>
  <c r="I717" i="9"/>
  <c r="I716" i="9"/>
  <c r="I715" i="9"/>
  <c r="I714" i="9"/>
  <c r="I713" i="9"/>
  <c r="I712" i="9"/>
  <c r="I711" i="9"/>
  <c r="I710" i="9"/>
  <c r="I709" i="9"/>
  <c r="I708" i="9"/>
  <c r="I707" i="9"/>
  <c r="I706" i="9"/>
  <c r="I705" i="9"/>
  <c r="I683" i="9"/>
  <c r="H683" i="9"/>
  <c r="H684" i="9" s="1"/>
  <c r="G683" i="9"/>
  <c r="G684" i="9" s="1"/>
  <c r="F683" i="9"/>
  <c r="F684" i="9" s="1"/>
  <c r="E683" i="9"/>
  <c r="E684" i="9" s="1"/>
  <c r="D683" i="9"/>
  <c r="D684" i="9" s="1"/>
  <c r="I682" i="9"/>
  <c r="I681" i="9"/>
  <c r="I680" i="9"/>
  <c r="I678" i="9"/>
  <c r="I677" i="9"/>
  <c r="I676" i="9"/>
  <c r="I674" i="9"/>
  <c r="I673" i="9"/>
  <c r="I672" i="9"/>
  <c r="I671" i="9"/>
  <c r="I670" i="9"/>
  <c r="I669" i="9"/>
  <c r="I668" i="9"/>
  <c r="I667" i="9"/>
  <c r="I666" i="9"/>
  <c r="I665" i="9"/>
  <c r="I642" i="9"/>
  <c r="H642" i="9"/>
  <c r="H643" i="9" s="1"/>
  <c r="G642" i="9"/>
  <c r="G643" i="9" s="1"/>
  <c r="F642" i="9"/>
  <c r="F643" i="9" s="1"/>
  <c r="E642" i="9"/>
  <c r="E643" i="9" s="1"/>
  <c r="D642" i="9"/>
  <c r="D643" i="9" s="1"/>
  <c r="I641" i="9"/>
  <c r="I640" i="9"/>
  <c r="I639" i="9"/>
  <c r="I638" i="9"/>
  <c r="I637" i="9"/>
  <c r="I636" i="9"/>
  <c r="I635" i="9"/>
  <c r="I634" i="9"/>
  <c r="I644" i="9" s="1"/>
  <c r="I25" i="7" s="1"/>
  <c r="I633" i="9"/>
  <c r="I632" i="9"/>
  <c r="I631" i="9"/>
  <c r="I630" i="9"/>
  <c r="I629" i="9"/>
  <c r="I628" i="9"/>
  <c r="I627" i="9"/>
  <c r="I626" i="9"/>
  <c r="I625" i="9"/>
  <c r="I624" i="9"/>
  <c r="I603" i="9"/>
  <c r="I24" i="7" s="1"/>
  <c r="I602" i="9"/>
  <c r="I601" i="9"/>
  <c r="H601" i="9"/>
  <c r="G601" i="9"/>
  <c r="F601" i="9"/>
  <c r="E601" i="9"/>
  <c r="D601" i="9"/>
  <c r="I600" i="9"/>
  <c r="I599" i="9"/>
  <c r="I598" i="9"/>
  <c r="I597" i="9"/>
  <c r="I596" i="9"/>
  <c r="I595" i="9"/>
  <c r="I594" i="9"/>
  <c r="I593" i="9"/>
  <c r="I592" i="9"/>
  <c r="I591" i="9"/>
  <c r="I590" i="9"/>
  <c r="I589" i="9"/>
  <c r="I588" i="9"/>
  <c r="I587" i="9"/>
  <c r="I586" i="9"/>
  <c r="I585" i="9"/>
  <c r="I584" i="9"/>
  <c r="I583" i="9"/>
  <c r="I560" i="9"/>
  <c r="H560" i="9"/>
  <c r="H561" i="9" s="1"/>
  <c r="H562" i="9" s="1"/>
  <c r="H23" i="7" s="1"/>
  <c r="G560" i="9"/>
  <c r="G561" i="9" s="1"/>
  <c r="G562" i="9" s="1"/>
  <c r="G23" i="7" s="1"/>
  <c r="F560" i="9"/>
  <c r="F561" i="9" s="1"/>
  <c r="F562" i="9" s="1"/>
  <c r="F23" i="7" s="1"/>
  <c r="E560" i="9"/>
  <c r="E561" i="9" s="1"/>
  <c r="E562" i="9" s="1"/>
  <c r="E23" i="7" s="1"/>
  <c r="D560" i="9"/>
  <c r="D561" i="9" s="1"/>
  <c r="D562" i="9" s="1"/>
  <c r="D23" i="7" s="1"/>
  <c r="C560" i="9"/>
  <c r="I559" i="9"/>
  <c r="I558" i="9"/>
  <c r="I557" i="9"/>
  <c r="I556" i="9"/>
  <c r="C556" i="9"/>
  <c r="I555" i="9"/>
  <c r="I554" i="9"/>
  <c r="I553" i="9"/>
  <c r="I552" i="9"/>
  <c r="I551" i="9"/>
  <c r="I550" i="9"/>
  <c r="I549" i="9"/>
  <c r="I548" i="9"/>
  <c r="I547" i="9"/>
  <c r="I546" i="9"/>
  <c r="I545" i="9"/>
  <c r="I544" i="9"/>
  <c r="I543" i="9"/>
  <c r="I542" i="9"/>
  <c r="I518" i="9"/>
  <c r="H518" i="9"/>
  <c r="H519" i="9" s="1"/>
  <c r="H520" i="9" s="1"/>
  <c r="H22" i="7" s="1"/>
  <c r="G518" i="9"/>
  <c r="G519" i="9" s="1"/>
  <c r="G520" i="9" s="1"/>
  <c r="G22" i="7" s="1"/>
  <c r="F518" i="9"/>
  <c r="F519" i="9" s="1"/>
  <c r="F520" i="9" s="1"/>
  <c r="F22" i="7" s="1"/>
  <c r="E518" i="9"/>
  <c r="E519" i="9" s="1"/>
  <c r="E520" i="9" s="1"/>
  <c r="E22" i="7" s="1"/>
  <c r="D518" i="9"/>
  <c r="D519" i="9" s="1"/>
  <c r="D520" i="9" s="1"/>
  <c r="D22" i="7" s="1"/>
  <c r="I517" i="9"/>
  <c r="I516" i="9"/>
  <c r="I515" i="9"/>
  <c r="I514" i="9"/>
  <c r="I513" i="9"/>
  <c r="I512" i="9"/>
  <c r="I511" i="9"/>
  <c r="I510" i="9"/>
  <c r="I509" i="9"/>
  <c r="I508" i="9"/>
  <c r="I507" i="9"/>
  <c r="I506" i="9"/>
  <c r="I505" i="9"/>
  <c r="I504" i="9"/>
  <c r="I503" i="9"/>
  <c r="I502" i="9"/>
  <c r="I501" i="9"/>
  <c r="I500" i="9"/>
  <c r="I479" i="9"/>
  <c r="H479" i="9"/>
  <c r="G479" i="9"/>
  <c r="F479" i="9"/>
  <c r="E479" i="9"/>
  <c r="D479" i="9"/>
  <c r="C479" i="9"/>
  <c r="I478" i="9"/>
  <c r="I477" i="9"/>
  <c r="I476" i="9"/>
  <c r="I475" i="9"/>
  <c r="I480" i="9" s="1"/>
  <c r="H475" i="9"/>
  <c r="H480" i="9" s="1"/>
  <c r="H481" i="9" s="1"/>
  <c r="H21" i="7" s="1"/>
  <c r="G475" i="9"/>
  <c r="G480" i="9" s="1"/>
  <c r="G481" i="9" s="1"/>
  <c r="G21" i="7" s="1"/>
  <c r="F475" i="9"/>
  <c r="F480" i="9" s="1"/>
  <c r="F481" i="9" s="1"/>
  <c r="F21" i="7" s="1"/>
  <c r="E475" i="9"/>
  <c r="E480" i="9" s="1"/>
  <c r="E481" i="9" s="1"/>
  <c r="E21" i="7" s="1"/>
  <c r="D475" i="9"/>
  <c r="D480" i="9" s="1"/>
  <c r="D481" i="9" s="1"/>
  <c r="D21" i="7" s="1"/>
  <c r="C475" i="9"/>
  <c r="C480" i="9" s="1"/>
  <c r="C481" i="9" s="1"/>
  <c r="C21" i="7" s="1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37" i="9"/>
  <c r="H437" i="9"/>
  <c r="H438" i="9" s="1"/>
  <c r="G437" i="9"/>
  <c r="G438" i="9" s="1"/>
  <c r="F437" i="9"/>
  <c r="F438" i="9" s="1"/>
  <c r="E437" i="9"/>
  <c r="E438" i="9" s="1"/>
  <c r="D437" i="9"/>
  <c r="D438" i="9" s="1"/>
  <c r="I436" i="9"/>
  <c r="I435" i="9"/>
  <c r="I434" i="9"/>
  <c r="I439" i="9"/>
  <c r="I20" i="7" s="1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398" i="9"/>
  <c r="I19" i="7" s="1"/>
  <c r="I396" i="9"/>
  <c r="H396" i="9"/>
  <c r="H397" i="9" s="1"/>
  <c r="G396" i="9"/>
  <c r="G397" i="9" s="1"/>
  <c r="F396" i="9"/>
  <c r="F397" i="9" s="1"/>
  <c r="E396" i="9"/>
  <c r="E397" i="9" s="1"/>
  <c r="D396" i="9"/>
  <c r="D397" i="9" s="1"/>
  <c r="I395" i="9"/>
  <c r="I394" i="9"/>
  <c r="I393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55" i="9"/>
  <c r="H355" i="9"/>
  <c r="H356" i="9" s="1"/>
  <c r="G355" i="9"/>
  <c r="G356" i="9" s="1"/>
  <c r="F355" i="9"/>
  <c r="F356" i="9" s="1"/>
  <c r="E355" i="9"/>
  <c r="E356" i="9" s="1"/>
  <c r="D355" i="9"/>
  <c r="D356" i="9" s="1"/>
  <c r="I354" i="9"/>
  <c r="I353" i="9"/>
  <c r="I352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14" i="9"/>
  <c r="I313" i="9"/>
  <c r="H313" i="9"/>
  <c r="F313" i="9"/>
  <c r="E313" i="9"/>
  <c r="D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74" i="9"/>
  <c r="I273" i="9"/>
  <c r="F273" i="9"/>
  <c r="F274" i="9" s="1"/>
  <c r="F275" i="9" s="1"/>
  <c r="F16" i="7" s="1"/>
  <c r="E273" i="9"/>
  <c r="E274" i="9" s="1"/>
  <c r="E275" i="9" s="1"/>
  <c r="E16" i="7" s="1"/>
  <c r="D273" i="9"/>
  <c r="D274" i="9" s="1"/>
  <c r="D275" i="9" s="1"/>
  <c r="D16" i="7" s="1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34" i="9"/>
  <c r="I15" i="7" s="1"/>
  <c r="I233" i="9"/>
  <c r="I232" i="9"/>
  <c r="H232" i="9"/>
  <c r="G232" i="9"/>
  <c r="F232" i="9"/>
  <c r="E232" i="9"/>
  <c r="D232" i="9"/>
  <c r="I231" i="9"/>
  <c r="I230" i="9"/>
  <c r="I229" i="9"/>
  <c r="I228" i="9"/>
  <c r="H228" i="9"/>
  <c r="G228" i="9"/>
  <c r="F228" i="9"/>
  <c r="E228" i="9"/>
  <c r="D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192" i="9"/>
  <c r="I14" i="7" s="1"/>
  <c r="I190" i="9"/>
  <c r="H190" i="9"/>
  <c r="H191" i="9" s="1"/>
  <c r="G190" i="9"/>
  <c r="G191" i="9" s="1"/>
  <c r="F190" i="9"/>
  <c r="F191" i="9" s="1"/>
  <c r="E190" i="9"/>
  <c r="E191" i="9" s="1"/>
  <c r="D190" i="9"/>
  <c r="D191" i="9" s="1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52" i="9"/>
  <c r="I13" i="7" s="1"/>
  <c r="I151" i="9"/>
  <c r="I150" i="9"/>
  <c r="H150" i="9"/>
  <c r="G150" i="9"/>
  <c r="F150" i="9"/>
  <c r="E150" i="9"/>
  <c r="D150" i="9"/>
  <c r="I149" i="9"/>
  <c r="I148" i="9"/>
  <c r="I147" i="9"/>
  <c r="I146" i="9"/>
  <c r="H146" i="9"/>
  <c r="G146" i="9"/>
  <c r="F146" i="9"/>
  <c r="E146" i="9"/>
  <c r="D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10" i="9"/>
  <c r="I12" i="7" s="1"/>
  <c r="I109" i="9"/>
  <c r="I108" i="9"/>
  <c r="H108" i="9"/>
  <c r="G108" i="9"/>
  <c r="F108" i="9"/>
  <c r="E108" i="9"/>
  <c r="D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68" i="9"/>
  <c r="I67" i="9"/>
  <c r="H67" i="9"/>
  <c r="G67" i="9"/>
  <c r="F67" i="9"/>
  <c r="E67" i="9"/>
  <c r="D67" i="9"/>
  <c r="I66" i="9"/>
  <c r="I65" i="9"/>
  <c r="I64" i="9"/>
  <c r="I63" i="9"/>
  <c r="H63" i="9"/>
  <c r="H69" i="9" s="1"/>
  <c r="H11" i="7" s="1"/>
  <c r="G63" i="9"/>
  <c r="G69" i="9" s="1"/>
  <c r="G11" i="7" s="1"/>
  <c r="F63" i="9"/>
  <c r="F69" i="9" s="1"/>
  <c r="F11" i="7" s="1"/>
  <c r="E63" i="9"/>
  <c r="E69" i="9" s="1"/>
  <c r="E11" i="7" s="1"/>
  <c r="D63" i="9"/>
  <c r="D69" i="9" s="1"/>
  <c r="D11" i="7" s="1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30" i="9"/>
  <c r="I10" i="7" s="1"/>
  <c r="I29" i="9"/>
  <c r="I28" i="9"/>
  <c r="H28" i="9"/>
  <c r="G28" i="9"/>
  <c r="F28" i="9"/>
  <c r="E28" i="9"/>
  <c r="D28" i="9"/>
  <c r="I27" i="9"/>
  <c r="I26" i="9"/>
  <c r="I25" i="9"/>
  <c r="I24" i="9"/>
  <c r="F24" i="9"/>
  <c r="E24" i="9"/>
  <c r="D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481" i="9" l="1"/>
  <c r="I21" i="7" s="1"/>
  <c r="I69" i="9"/>
  <c r="I11" i="7" s="1"/>
  <c r="I356" i="9"/>
  <c r="I724" i="9"/>
  <c r="I397" i="9"/>
  <c r="I520" i="9"/>
  <c r="I22" i="7" s="1"/>
  <c r="C561" i="9"/>
  <c r="C562" i="9" s="1"/>
  <c r="C23" i="7" s="1"/>
  <c r="C36" i="7" s="1"/>
  <c r="C37" i="7" s="1"/>
  <c r="I561" i="9"/>
  <c r="I562" i="9" s="1"/>
  <c r="I23" i="7" s="1"/>
  <c r="I519" i="9"/>
  <c r="I849" i="9"/>
  <c r="I30" i="7" s="1"/>
  <c r="I876" i="9"/>
  <c r="I969" i="9"/>
  <c r="I191" i="9"/>
  <c r="I438" i="9"/>
  <c r="I643" i="9"/>
  <c r="I766" i="9"/>
  <c r="I28" i="7" s="1"/>
  <c r="I679" i="9"/>
  <c r="I684" i="9" s="1"/>
  <c r="I929" i="9"/>
  <c r="I32" i="7" s="1"/>
  <c r="E29" i="9"/>
  <c r="E30" i="9"/>
  <c r="E10" i="7" s="1"/>
  <c r="D29" i="9"/>
  <c r="D30" i="9"/>
  <c r="I275" i="9"/>
  <c r="I16" i="7" s="1"/>
  <c r="F29" i="9"/>
  <c r="F30" i="9"/>
  <c r="F10" i="7" s="1"/>
  <c r="I675" i="9"/>
  <c r="I725" i="9"/>
  <c r="I27" i="7" s="1"/>
  <c r="I392" i="9"/>
  <c r="I433" i="9"/>
  <c r="I351" i="9"/>
  <c r="I357" i="9" s="1"/>
  <c r="I18" i="7" s="1"/>
  <c r="I315" i="9"/>
  <c r="I17" i="7" s="1"/>
  <c r="E36" i="7" l="1"/>
  <c r="E37" i="7" s="1"/>
  <c r="D10" i="7"/>
  <c r="D36" i="7" s="1"/>
  <c r="D37" i="7" s="1"/>
  <c r="F36" i="7"/>
  <c r="F37" i="7" s="1"/>
  <c r="G36" i="7"/>
  <c r="G37" i="7" s="1"/>
  <c r="I685" i="9"/>
  <c r="I26" i="7" s="1"/>
  <c r="H36" i="7"/>
  <c r="H37" i="7" l="1"/>
  <c r="I36" i="7"/>
  <c r="I37" i="7" s="1"/>
</calcChain>
</file>

<file path=xl/sharedStrings.xml><?xml version="1.0" encoding="utf-8"?>
<sst xmlns="http://schemas.openxmlformats.org/spreadsheetml/2006/main" count="3863" uniqueCount="475">
  <si>
    <t>ANEKSI nr.1 "Raporti i Shpenzimeve sipas Programeve"</t>
  </si>
  <si>
    <t>Emri i Grupit</t>
  </si>
  <si>
    <t>Kodi i Grupit</t>
  </si>
  <si>
    <t>Programet</t>
  </si>
  <si>
    <t>Shpenzimet e Njësisë së Vetëqeverisjes Vendore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</si>
  <si>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</si>
  <si>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</si>
  <si>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</si>
  <si>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</si>
  <si>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</si>
  <si>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</si>
  <si>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</si>
  <si>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</si>
  <si>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</si>
  <si>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</si>
  <si>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</si>
  <si>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Titulli</t>
  </si>
  <si>
    <t>Emertimi</t>
  </si>
  <si>
    <t>Planifikimi Menaxhimi dhe Administrimi</t>
  </si>
  <si>
    <t>Kryetari i Njësisë së Vetëqeverisjes Vendore</t>
  </si>
  <si>
    <t>Emri</t>
  </si>
  <si>
    <t>Firma</t>
  </si>
  <si>
    <t>Data</t>
  </si>
  <si>
    <t>Totali i Shpenzimeve të Njësisë</t>
  </si>
  <si>
    <t>Aneksi 2. Raporti i Shpenzimeve të programeve sipas artikujve</t>
  </si>
  <si>
    <t>Bashkia</t>
  </si>
  <si>
    <t>Kodi i Grupit / Njësisë Vendore</t>
  </si>
  <si>
    <t>....</t>
  </si>
  <si>
    <t>Programi</t>
  </si>
  <si>
    <t>Kodi i Programit</t>
  </si>
  <si>
    <t>Art.</t>
  </si>
  <si>
    <t>Fakt</t>
  </si>
  <si>
    <t>Plani i Periudhes/progresiv</t>
  </si>
  <si>
    <t>i</t>
  </si>
  <si>
    <t>Periudhes/progresiv</t>
  </si>
  <si>
    <t>Nen-Totali</t>
  </si>
  <si>
    <t>Shpenzime Kapitale me financim te huaj</t>
  </si>
  <si>
    <t>Totali</t>
  </si>
  <si>
    <t>Shpenzime Kapitale</t>
  </si>
  <si>
    <t>...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</si>
  <si>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</si>
  <si>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</si>
  <si>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</si>
  <si>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</si>
  <si>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</si>
  <si>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</si>
  <si>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</si>
  <si>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</si>
  <si>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>Aneksi nr.4 Raporti i realizimit të objektivave të politikës së programit</t>
  </si>
  <si>
    <t>Emertimi i programit:</t>
  </si>
  <si>
    <t>Qellimi 1</t>
  </si>
  <si>
    <t>Qeverisje vendore e përgjegjëse dhe administrata e saj transparente</t>
  </si>
  <si>
    <t>Niveli faktik i  vitit paraardhes</t>
  </si>
  <si>
    <t>Niveli i planifikuar ne vitin korent</t>
  </si>
  <si>
    <t>Niveli i rishikuar ne vitin korent</t>
  </si>
  <si>
    <t>Niveli faktik ne fund te vitit korent</t>
  </si>
  <si>
    <t>% e Realizimit te Treguesit te Performances/Produktit</t>
  </si>
  <si>
    <t>Objektivi 1.1</t>
  </si>
  <si>
    <t>Përmirësimi i menaxhimit të burimeve njerëzore</t>
  </si>
  <si>
    <t>Rritja e kapacitetit të punonjësve të bashkisë</t>
  </si>
  <si>
    <t>Kodi projektit</t>
  </si>
  <si>
    <t>Emertimi i projektit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</si>
  <si>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</si>
  <si>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</si>
  <si>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</si>
  <si>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Grant/</t>
  </si>
  <si>
    <t>Drejtuesi i Ekipit Menaxhues të Programit</t>
  </si>
  <si>
    <t>Kujdesi social për personat e sëmurë dhe me aftësi të kufizuara</t>
  </si>
  <si>
    <t>ne 1 000/leke</t>
  </si>
  <si>
    <t>Kodi i programit</t>
  </si>
  <si>
    <t>Transferta për Buxhetet Familiare dhe Individët</t>
  </si>
  <si>
    <t>69/?</t>
  </si>
  <si>
    <t>Të tjera</t>
  </si>
  <si>
    <t>Shpenzime korrente</t>
  </si>
  <si>
    <t>Kapitale të Patrupëzuara</t>
  </si>
  <si>
    <t>Transferta Kapitale</t>
  </si>
  <si>
    <t>Shpenzime Kapitale me financim te brëndshëm</t>
  </si>
  <si>
    <t>Totali(korrente + kapitale)</t>
  </si>
  <si>
    <t>ANEKSI nr.3 "Raporti permbledhes i realizimit te treguesve te performances/ produkteve te programit"</t>
  </si>
  <si>
    <t>* *Treguesit e performancës / Produktet:</t>
  </si>
  <si>
    <t>*Objektivat e politikës*:</t>
  </si>
  <si>
    <t>Kodi I Treguesit te Performances/Produktit</t>
  </si>
  <si>
    <t>Emertimi i Treguesit te Performances***/Produktit</t>
  </si>
  <si>
    <t>Objektivi 1.2</t>
  </si>
  <si>
    <t>ANEKSI nr.5  Projektet e investimeve me financim te brendshem dhe me financim te huaj</t>
  </si>
  <si>
    <t>Projektet me financim te brendshëm (ne 1'000/leke)</t>
  </si>
  <si>
    <t>Vlera e plotë e projektit</t>
  </si>
  <si>
    <t>Viti i fillimit të projektit</t>
  </si>
  <si>
    <t>Viti i përfundimit të projektit</t>
  </si>
  <si>
    <t>Projektet me financim te huaj (ne 1'000/leke)</t>
  </si>
  <si>
    <t>Vitit i përfundimit të projektit</t>
  </si>
  <si>
    <t>në 1'000 LEK</t>
  </si>
  <si>
    <t>I Periudhes/progresiv</t>
  </si>
  <si>
    <t>Gjendja civile</t>
  </si>
  <si>
    <t>Pagesa për shërbimin e borxhit të brendshëm</t>
  </si>
  <si>
    <t>Shërbimet e Policisë Vendore</t>
  </si>
  <si>
    <t>Mbrojtja nga zjarri dhe mbrojtja civile</t>
  </si>
  <si>
    <t>Mbështetje për zhvillimin ekonomik</t>
  </si>
  <si>
    <t>Administrimi i pyjeve dhe kullotave</t>
  </si>
  <si>
    <t>Menaxhimi i infrastrukturës së ujitjes dhe kullimit</t>
  </si>
  <si>
    <t>Rrjeti rrugor rural</t>
  </si>
  <si>
    <t>Menaxhimi i mbetjeve</t>
  </si>
  <si>
    <t>Shërbime publike vendore</t>
  </si>
  <si>
    <t>Furnizimi me ujë</t>
  </si>
  <si>
    <t>Ndriçim rrugësh</t>
  </si>
  <si>
    <t>Shërbimet e kujdesit parësor</t>
  </si>
  <si>
    <t>Sport dhe argëtim</t>
  </si>
  <si>
    <t>Trashëgimia kulturore, eventet artistike dhe kulturore</t>
  </si>
  <si>
    <t>Arsimi bazë përfshirë arsimin parashkollor</t>
  </si>
  <si>
    <t>Arsimi i mesëm i përgjithshëm</t>
  </si>
  <si>
    <t>Strehimi social</t>
  </si>
  <si>
    <t>Zgjedhjet e përgjithshme dhe lokale</t>
  </si>
  <si>
    <t>Programet e zhvillimit</t>
  </si>
  <si>
    <t>Kujdesi social për familjet dhe fëmijët</t>
  </si>
  <si>
    <t>Marrëdhëniet me komunitetin</t>
  </si>
  <si>
    <t>Pukë</t>
  </si>
  <si>
    <t>Plan i Rishikuar    Viti 2020</t>
  </si>
  <si>
    <t>Pagat</t>
  </si>
  <si>
    <t>Sigurimet Shoqërore</t>
  </si>
  <si>
    <t>Mallra dhe shërbime</t>
  </si>
  <si>
    <t>Subvencione</t>
  </si>
  <si>
    <t>Të tjera transferta korrente të brendshme</t>
  </si>
  <si>
    <t>Transferta korrente të huaja</t>
  </si>
  <si>
    <t>Rezerva</t>
  </si>
  <si>
    <t>Interesa per kredi direkte ose bono</t>
  </si>
  <si>
    <t>Kapitale të Trupëzuara</t>
  </si>
  <si>
    <t>ne 1'000/leke</t>
  </si>
  <si>
    <t>Njësia matese</t>
  </si>
  <si>
    <t>Sasia Faktike (sipas vitit paraardhes)</t>
  </si>
  <si>
    <t>Shpenzimet (sipas vitit paraardhes)</t>
  </si>
  <si>
    <t>Kosto per Njesi (sipas vitit paraardhes)</t>
  </si>
  <si>
    <t>Sasia (sipas planit te vitit korent)</t>
  </si>
  <si>
    <t>Shpenzimet (sipas planit te vitit korent)</t>
  </si>
  <si>
    <t>Kosto per Njesi (sipas planit te vitit korent)</t>
  </si>
  <si>
    <t>Sasia (sipas planit te rishikuar te vitit korent)</t>
  </si>
  <si>
    <t>Shpenzimet (sipas planit te rishikuar te vitit korent)</t>
  </si>
  <si>
    <t>Kosto per Njesi (sipas planit te rishikuar te vitit korent)</t>
  </si>
  <si>
    <t>Sasia Faktike (ne fund te vitit korent)</t>
  </si>
  <si>
    <t>Shpenzimet Faktike (ne fund te vitit korent)</t>
  </si>
  <si>
    <t>Kosto per Njesi Faktike (ne fund te vitit korent)</t>
  </si>
  <si>
    <t>V = IV - I</t>
  </si>
  <si>
    <t>V = IV - II</t>
  </si>
  <si>
    <t>V = IV - III</t>
  </si>
  <si>
    <t>Raporti në % mes punonjësve  të trajnuar  dhe punonjësve total</t>
  </si>
  <si>
    <t>Numri i punonjësve që kanë lëvizur brenda vitit kundrejt numrit total të punonjësve (raporti në %)</t>
  </si>
  <si>
    <t>Totali i burimeve financiare minus shpenzime totale në lekë në vit</t>
  </si>
  <si>
    <t>Raporti në % i tregjeve të aprovuara nga bashkia kundrejt tregjeve të planifikuara në PPV</t>
  </si>
  <si>
    <t>Buxheti i alokuar për mbështetjen e personave të papunë si asistencë sociale kundrejt numrit total të personave të mbështetur (Lekë në muaj / persona të papunë)</t>
  </si>
  <si>
    <t>Numri i planeve sektorale që mbulojnë vitin në shqyrtim</t>
  </si>
  <si>
    <t>Shkurtimi i kohës së lëshimit të certifikatës nga gjendja civile</t>
  </si>
  <si>
    <t>Koha mesatare e pritjes për të marrë 1 certifikatë (ndryshimi në minuta kundrejt vitit të kaluar)</t>
  </si>
  <si>
    <t>Raporti i shpenzimeve totale të programit kundrejt numrit të dokumentave të prodhuar (lekë/dokument)</t>
  </si>
  <si>
    <t>Vlera e detyrimeve të prapambetura të paguara në vit</t>
  </si>
  <si>
    <t>Rritja e numrit të ankesave të qytetarëve që janë menaxhuar nga policia bashkiake</t>
  </si>
  <si>
    <t>Raporti në % i ankesave dhe konflikteve të zgjidhura kundrejt numrit të tyre në total të ardhur në policinë bashkiake</t>
  </si>
  <si>
    <t>Raporti midis punonjësve me status të oficerit të policisë bashkiake kundrejt numrit total të punonjësve të policisë bashkiake</t>
  </si>
  <si>
    <t>Raporti në % i numrit të  punonjësve të trajnuar ndaj numrit të punonjësve total</t>
  </si>
  <si>
    <t>Ulja e kohës së daljes nga stacioni pas raportimit</t>
  </si>
  <si>
    <t>Dalja nga stacioni (ndryshimi në sekonda kundrejt vitit të kaluar)</t>
  </si>
  <si>
    <t>Raporti në % i sipërfaqes së mbuluar me shërbimin për shuarjen e zjarrit dhe shpëtimit ndaj sipërfaqes totale të bashkisë</t>
  </si>
  <si>
    <t>Total shpenzime për SHMZ kundrejt totalit të rasteve të menaxhuara në lekë</t>
  </si>
  <si>
    <t>Numri i stacioneve MZSH</t>
  </si>
  <si>
    <t>Rritja e bizneseve të regjistruar</t>
  </si>
  <si>
    <t>Numri i bizneseve të regjistruar, ndryshimi vjetor në %</t>
  </si>
  <si>
    <t>Ndryshimi (ditë ) i kohës për pajisjen me dokumenta nga QKB / emetimi i çertifikatave; lejeve; etj</t>
  </si>
  <si>
    <t>Rritja e kapaciteteve të punonjësve për inspekime</t>
  </si>
  <si>
    <t>Numër inspektimesh për punonjës</t>
  </si>
  <si>
    <t>Numri i kontrolleve dhe inspektimeve për 1000 ha pyje dhe kullota</t>
  </si>
  <si>
    <t>Numri i punonjësve për 1000 ha pyje dhe kullota</t>
  </si>
  <si>
    <t>Përmirësimi i rrjetit ujitës</t>
  </si>
  <si>
    <t>Km kanal vaditës të pastruar kundrejt rrjetit total të kanaleve ujitëse në pronësi të bashkisë (në %)</t>
  </si>
  <si>
    <t>Raporti në % i sipërfaqes bujqësore të mbuluar me ujitje ndaj sipërfaqes totale bujqësore ndër vite</t>
  </si>
  <si>
    <t>Raporti në % i sipërfaqes bujqësore të kultivuar ndaj sipërfaqes totale bujqësore</t>
  </si>
  <si>
    <t>Mirëmbajtja e rrjetit rrugor</t>
  </si>
  <si>
    <t>Raporti në % i rrjetit rrugor të mirëmbajtur ndaj rrjetit rrugor total</t>
  </si>
  <si>
    <t>Buxheti në Lekë i shpenzuar për menaxhimin e rrjetit rrugor kundrejt rrjetit rrugor në km (lekë për 1 km rrugë)</t>
  </si>
  <si>
    <t>Rrjeti rrugor (ndryshimi vjetor në km)</t>
  </si>
  <si>
    <t>Shtimi i pikave të grumbullimit të mbetjeve</t>
  </si>
  <si>
    <t>Kazanë mbeturinash të rinj, ndryshimi vjetor në %</t>
  </si>
  <si>
    <t>Raporti në % i popullsisë së mbuluar me shërbimin e menaxhimit të mbetjeve ndaj popullsisë totale të bashkisë</t>
  </si>
  <si>
    <t>Raporti në % i sipërfaqes së mbuluar me shërbimin e menaxhimit të mbetjeve kundrejt sipërfaqes totale të bashkisë</t>
  </si>
  <si>
    <t>Përmirësimi i sipërfaqeve të gjelbërta</t>
  </si>
  <si>
    <t>Raporti i sipërfaqes së gjelbër të mirëmbajtur kundrejt sipërfaqes totale të gjelbër</t>
  </si>
  <si>
    <t>Raporti i sipërfaqes së gjelbëruar kundrejt popullsisë totale të bashkisë, m2/banor</t>
  </si>
  <si>
    <t>Rritja e mbulimit me shërbimin e ujit të pijshëm</t>
  </si>
  <si>
    <t>Mbulimi i popullsisë me shërbimin e ujit të pijshëm (kundrejt popullsisë totale të bashkisë në %)</t>
  </si>
  <si>
    <t>Furnizimi me ujë - orë ujë në ditë (ndryshimi në orë)</t>
  </si>
  <si>
    <t>Popullësia e mbuluar me shërbime sanitare kundrejt popullësisë totale të bashkisë</t>
  </si>
  <si>
    <t>Përmirësimi i rrjetit të ndriçimit</t>
  </si>
  <si>
    <t>Sipërfaqe e hapësirave publike e mbuluar me ndriçim e mirëmbajtur, ndryshimi vjetor në %</t>
  </si>
  <si>
    <t>Sipërfaqe në të cilën është mirëmbajtur ndriçimi kundrejt sipërfaqes totale të ndriçuar</t>
  </si>
  <si>
    <t>Lekë të shpenzuara për 1 km2 hapësirë publike të ndriçuar / Shpenzime operative dhe mirëmbajtje kundrejt sipërfaqes së mirëmbajtur me ndriçim</t>
  </si>
  <si>
    <t>Lekë të ardhura nga tarifat për ndriçimin e hapësirave publike kundrejt totalit të shpenzimeve të bashkisë për mbulimin me ndriçim</t>
  </si>
  <si>
    <t>Rritja e numrit të përfituesve të shërbyer në qendrat e kujdesit parësor</t>
  </si>
  <si>
    <t>Numri i personave që marrin shërbim, ndryshimi në %</t>
  </si>
  <si>
    <t>Rritja e numrit të aktiviteteve sportive që mbështetura gjatë vitit</t>
  </si>
  <si>
    <t>Numri i aktiviteteve sportive rinore, etj, kundrejt vitit të kaluar në %</t>
  </si>
  <si>
    <t>Shtimi i aktiviteteve kulturore të organizuara nga bashkia</t>
  </si>
  <si>
    <t>Numri i shfaqjeve kulturore; artistike të mbështetura me fondet e bashkisë (ndryshimi vjetor në %)</t>
  </si>
  <si>
    <t>NUMRI I SHFAQEVE KULTURORE; EVENTE ARTISTIKE TË MBËSHTETURA ME FONDET E BASHKISË</t>
  </si>
  <si>
    <t>Numri mesatar i fëmijëve për një punonjës mësimor në arsimin parashkollor</t>
  </si>
  <si>
    <t>Numri mesatar i nxënësve për çdo punonjës mësimor</t>
  </si>
  <si>
    <t>Raporti në % i numrit të fëmijëve që frekuentojnë sistemin parashkollor kundrejt numrit total të fëmijëve 3 - 6 vjeç</t>
  </si>
  <si>
    <t>Rritja e frekuentimit në arsimin e mesëm</t>
  </si>
  <si>
    <t>Numri i nxënësve të regjistruar në sistemin e arsimit të mesëm kundrejt totalit që përfundon kl. IX në %</t>
  </si>
  <si>
    <t>Raporti i shpenzimeve në institucionin e arsimit të mesëm të përgjithshëm kundrejt numrit total të nxenesve te arsimit të mesëm të përgjithshëm (leke/nxenes)</t>
  </si>
  <si>
    <t>Raporti në % i ndërtesave të mirëmbajtura / rikonstruktuara ndaj totalit të ndërtesave funksionale të arsimit të mesëm</t>
  </si>
  <si>
    <t>Numri i nxënësve të akomoduar në konvikte kundrejt numrit të total të dhomave në konvikte (numri mesatar i nxënësve në një dhomë)</t>
  </si>
  <si>
    <t>Rritja e përfituesve nga ndihma sociale</t>
  </si>
  <si>
    <t>Numër personash të mbështetur me pagesë invaliditeti dhe paaftësie (ndryshimi vjetor në numër)</t>
  </si>
  <si>
    <t>Përfitimi monetar në Lekë për çdo person të sëmurë ose invalid</t>
  </si>
  <si>
    <t>Rritja e mbështetjes me banesa sociale me kosto të ulët</t>
  </si>
  <si>
    <t>Banesa sociale me kosto të ulët (autoriteti i banesave), ndryshimi vjetor në %</t>
  </si>
  <si>
    <t>BANESA SOCIALE ME KOSTO TË ULËT (AUTORITETI I BANESAVE)</t>
  </si>
  <si>
    <t>Përmirësimi i planifikimit të projekteve rehabilituese për komunitetin</t>
  </si>
  <si>
    <t>Numri i projekteve rehabilituese për komunitetin, ndryshimi vjetor në %</t>
  </si>
  <si>
    <t>Rritja e frekuentimit të çerdheve</t>
  </si>
  <si>
    <t>Fëmijë të regjistruar në çerdhe, ndryshimi vjetor në numër</t>
  </si>
  <si>
    <t>Periudha e Raportimit:2020</t>
  </si>
  <si>
    <t>Sistem kujdesi ndaj familjeve dhe fëmijëve funksional dhe i përmirësuar</t>
  </si>
  <si>
    <t>Objektivi 1.3</t>
  </si>
  <si>
    <t>Përmirësimi i menaxhimit të burimeve financiare</t>
  </si>
  <si>
    <t>Objektivi 1.4</t>
  </si>
  <si>
    <t>Rritja e pjesëmarrjes aktive të qytetarëve në vendimmarrje</t>
  </si>
  <si>
    <t>Përmirësimi i punës së bashkisë drejt realizimit të standardeve ligjore</t>
  </si>
  <si>
    <t>Sigurimi i hedhjes, ruajtjes dhe ndryshimit të përbërësve të gjendjes civile të shtetasve shqiptarë, shtetasve të huaj dhe të personave pa shtetësi, me banim të përkohshëm/të përhershëm në R.SH.</t>
  </si>
  <si>
    <t>Shërbime më eficiente dhe shkurtimi i kohës në ofrimin e shërbimeve publike</t>
  </si>
  <si>
    <t>Menaxhim i përgjegjshëm dhe i qëndrueshëm i borxhit nga bashkia</t>
  </si>
  <si>
    <t>Ulja e riskut e borxhit</t>
  </si>
  <si>
    <t>Përmirësimi i sigurisë së komunitetit</t>
  </si>
  <si>
    <t>Rritja e shërbimeve bashkiake për sigurinë dhe qetësinë publike në komunitet</t>
  </si>
  <si>
    <t>Administrimi i parandalimit të zjarrit dhe problemeve të shërbimeve të mbrojtjes kundër zjarrit, permbytjeve dhe fatkeqësive natyrore dhe ndërhyrjeve për shpëtim</t>
  </si>
  <si>
    <t>Përmirësimi i shërbimeve të shuarjes së zjarrit dhe shpëtimit</t>
  </si>
  <si>
    <t>Përmirësimi i kushteve dhe infrastrukturës në funksion të MZSH</t>
  </si>
  <si>
    <t>Lehtësimi i biznesit</t>
  </si>
  <si>
    <t>Mbështetje dhe promovim i bizneseve vendore në funksion të zhvillimit ekonomik vendor, strategjive dhe planeve zhvillimore lokale</t>
  </si>
  <si>
    <t>Bashkia siguron përdorim të qendrueshëm të pyjeve dhe kullotave</t>
  </si>
  <si>
    <t>Përmirësimi i shërbimit pyjor dhe kullosor</t>
  </si>
  <si>
    <t>Administrimi, shfrytëzimi dhe mirëmbajtja e infrastrukturës  së ujitjes dhe kullimit</t>
  </si>
  <si>
    <t>Përmirësimi i infrastrukturës dhe shërbimit të sistemit të ujitjes dhe kullimit</t>
  </si>
  <si>
    <t>Përmirësimi dhe modernizimi i infrastrukturës rrugore urbane dhe infrastrukturës rrugore rurale duke mundësuar akses të plotë të tyre në sistemin e infrastrukturës rrugore kombëtare dhe ndërkombëtare</t>
  </si>
  <si>
    <t>Përmirësimi i cilësisë infrastrukturore dhe sinjalistike të rrjetit rrugor</t>
  </si>
  <si>
    <t>Përmirësimi i transportit</t>
  </si>
  <si>
    <t>Përmirësimi i menaxhimit të integruar të mbetjeve urbane</t>
  </si>
  <si>
    <t>Përmirësimi i shërbimeve të grumbullimit dhe menaxhimit të mbetjeve</t>
  </si>
  <si>
    <t>1. Garantimi për të gjithë qytetarët e saj shërbime publike cilësore në të gjithë territorin e saj pamvarësisht vendndodhjes së tyre2. Shërbim cilësor me standarte dhe sipas normativave të rregullores së Mirëmbajtjes së Varrezave3. Ndërtimi, rehabilitimi dhe mirëmbajtja e varrezave publike</t>
  </si>
  <si>
    <t>Përmirësimi i hapësirave publike</t>
  </si>
  <si>
    <t>Prodhimi, trajtimi, transmetimi dhe furnizimi me ujë të pijshëm</t>
  </si>
  <si>
    <t>Përmirësimi i ofrimit të shërbimit të ujit të pijshëm</t>
  </si>
  <si>
    <t>Përmirësimi i sistemit të kanalizimit të ujërave të zeza në të gjithë zonat urbane të Nj.A të bashkisë</t>
  </si>
  <si>
    <t>Përmirësimi i cilësisë së jetës dhe sigurisë në komunitet</t>
  </si>
  <si>
    <t>Mirëmbajtja dhe shtimi i hapësirave të mbuluara me ndriçim</t>
  </si>
  <si>
    <t>Projektimi, përmirësimi i kushteve të qendrave shëndetësore parësore në territor dhe mirëadministrimi i infrastrukturës së ndërtuar</t>
  </si>
  <si>
    <t>Përmirësimi i shëndetit, cilësisë së jetës së komunitetit përmes aktiviteteve të edukimit e promocionit shëndetësor, parandalimit të sëmundjeve dhe shërbimeve të tjera shëndetësore në bashkëpunim me institucionet përgjegjëse të shërbimit shëndetësor</t>
  </si>
  <si>
    <t>Bashkia mbështet organizimin e eventeve sportive dhe argëtuese</t>
  </si>
  <si>
    <t>Të promovojmë dhe te nxisim pjesëmarrjen aktive të te rinjve ne aktivitete sportive dhe sociale, si aktorë thelbësorë në zhvillimin e territorit</t>
  </si>
  <si>
    <t>Ruajtja dhe promovimi i vlerave të trashëgimisë kulturore dhe mirëadministrimi e fuqizimi i institucioneve menaxhuese</t>
  </si>
  <si>
    <t>Mbrojtja e trashëgimisë kulturore dhe promovimi i eventeve kulturore dhe artistike</t>
  </si>
  <si>
    <t>1. Ndërtimi, rehabilitimi dhe mirëmbajtja e ndërtesave arsimore të sistemit shkollor parauniversitar. 2. Organizimi i aktiviteteve kulturore dhe promovimi i identitetit kombëtar e lokal, si dhe administrimin e objekteve që lidhen me ushtrimin e këtyre funksioneve.</t>
  </si>
  <si>
    <t>Bashkia ofron kushte për përmirësimin e arsimit bazë (9-vjeçar) dhe parashkollor</t>
  </si>
  <si>
    <t>Ndërtimi, rehabilitimi dhe mirëmbajtja e ndërtesave arsimore të sistemit shkollor parauniversitar në arsimin e mesëm të përgjithshëm</t>
  </si>
  <si>
    <t>Bashkia ofron kushte për përmirësimin e arsimit të përgjithshëm (mesëm)</t>
  </si>
  <si>
    <t>Përmirësimi i infrastrukturës arsimore në arsimin e mesëm të përgjithshëm</t>
  </si>
  <si>
    <t>Ofrimi i shërbimeve cilësore për zhvillimin e procesit mësimor edukativ në kushte të përshtatshme në gjithë territorin administrativ të Bashkisë në arsimin profesional</t>
  </si>
  <si>
    <t>Krijimi dhe administrimi i shërbimeve sociale për shtresat në nevojë, personat me aftësi të kufizuar, fëmijët, gratë, të moshuarit etj., sipas mënyrës së përcaktuar me ligj</t>
  </si>
  <si>
    <t>Sistem i kujdesit social për personat e sëmurë dhe PAK më efikas</t>
  </si>
  <si>
    <t>Bashkia zhvillon dhe zbaton politikat sociale të strehimit</t>
  </si>
  <si>
    <t>Bashkia siguron strehim social për shtresën vulnerabël</t>
  </si>
  <si>
    <t>Ofrimin me cilësi, sipas standardeve bashkëkohore edhe konform legjislacionit të shërbimit të gjelberimit,veprimtaritë sociale dhe kulturore në të gjithë qytetin</t>
  </si>
  <si>
    <t>Bashkia harton, administron, bashkërendon dhe monitoron planet dhe programet e shërbimeve ndaj komunitetit</t>
  </si>
  <si>
    <t>Bashkia në harmoni me politikat kombëtare zhvillon programe për uljen e varfërisë</t>
  </si>
  <si>
    <t>Ofrimi i sigurisë dhe garantimi i kushteve optimale për rritjen e fëmijëve 0-3 vjeç në çerdhe</t>
  </si>
  <si>
    <t>Blerje foni per sallen e keshillit</t>
  </si>
  <si>
    <t>Likuidim detyrime te prapambetura</t>
  </si>
  <si>
    <t>Punime ne pyje</t>
  </si>
  <si>
    <t>Bashkefinancim ne projekte</t>
  </si>
  <si>
    <t>Rikonstruksion Rruga Kukaj</t>
  </si>
  <si>
    <t>Rruga krove-fshati Blinisht</t>
  </si>
  <si>
    <t>Supervizim objektesh te ndryshme</t>
  </si>
  <si>
    <t>ndricim I qendes Qelez</t>
  </si>
  <si>
    <t>Kanali I ujerave te zeza Gjegjan</t>
  </si>
  <si>
    <t>Blerje pajisje konvikti</t>
  </si>
  <si>
    <t>Sistemim I ambiennteve tek banesat sociale</t>
  </si>
  <si>
    <t>Gjon Gjonaj</t>
  </si>
  <si>
    <t>Fond rezerve dhe kontigjense</t>
  </si>
  <si>
    <t>Emergjense civile</t>
  </si>
  <si>
    <t>4980</t>
  </si>
  <si>
    <t>fond rezerve dhe kontigjence</t>
  </si>
  <si>
    <t>10910</t>
  </si>
  <si>
    <t>Emergjenca Civile</t>
  </si>
  <si>
    <t>Fnancim per banesat sociale</t>
  </si>
  <si>
    <t>BASHKIA PUKE</t>
  </si>
  <si>
    <t>i vitit 2020</t>
  </si>
  <si>
    <t>Plan    Viti 2021</t>
  </si>
  <si>
    <t>Plan Fillestar    Viti 2021</t>
  </si>
  <si>
    <t>08.02.2022</t>
  </si>
  <si>
    <t>I vitit paraardhes Viti 2020</t>
  </si>
  <si>
    <t>Viti  2021</t>
  </si>
  <si>
    <t>Plan Fillestar Viti  2021</t>
  </si>
  <si>
    <t>Plan i Rishikuar Viti 2021</t>
  </si>
  <si>
    <t>Plani i Periudhes/progresiv 2021</t>
  </si>
  <si>
    <t>Plan i Rishikuar    Viti 2021</t>
  </si>
  <si>
    <t>Ershela Gjoni</t>
  </si>
  <si>
    <t>ura kembesore pasarel Palucaj , fshati Breg</t>
  </si>
  <si>
    <t>Mbikqyrje punimesh Rik Rruga Kukaj</t>
  </si>
  <si>
    <t>Punime ne shkollen Bushat</t>
  </si>
  <si>
    <t>Riparim objekti te godina e zhvillimit Rural dhe turizmit</t>
  </si>
  <si>
    <t>Blerje automjeti per Bashkine</t>
  </si>
  <si>
    <t>Mure mbajtes rruga Gjegjan I Eper Lagje Pacaj gjegjan</t>
  </si>
  <si>
    <t>Ure lagje Bardhagji fshati Gojan</t>
  </si>
  <si>
    <t>Murembajtes rruga Gojan I vogel lagje koder kmone</t>
  </si>
  <si>
    <t>Rruga lagje Mataj Rrape</t>
  </si>
  <si>
    <t>Rruga  ne fshatin Pla</t>
  </si>
  <si>
    <t>Ndertim tombino rruga Meqe</t>
  </si>
  <si>
    <t>Riparim ura kembesore shmi,krove barxhane,dhe Bojaxhi</t>
  </si>
  <si>
    <t>Mure mbajtes Florinaj Breg</t>
  </si>
  <si>
    <t>Ure pasarele fshati Lajthize NJA Gjegjan</t>
  </si>
  <si>
    <t>Ure pasarele Haxhiaj NJA Gjegjan</t>
  </si>
  <si>
    <t>Ndertim dhe zgjatim I rruges lagje Ramaj NJA gjegjan</t>
  </si>
  <si>
    <t>Rruga Laskaj fshati Blinisht</t>
  </si>
  <si>
    <t>rehabilitim segmenti rrugor Lajthize Dedaj</t>
  </si>
  <si>
    <t>rehabiltiim rruga Zezaj</t>
  </si>
  <si>
    <t>ndricim I qendes Rrape</t>
  </si>
  <si>
    <t>Blerje llampa led per ndricimin qender Qytetit Puke</t>
  </si>
  <si>
    <t>Blerje shtylla per ndricim Luf</t>
  </si>
  <si>
    <t>Blerje fidanesh</t>
  </si>
  <si>
    <t>Blerje stolash qyteti Puke</t>
  </si>
  <si>
    <t>rehabilitim segmenti rrugor Koderboje-Bushat-Midhe-Q Mungut</t>
  </si>
  <si>
    <t>Rehabilitimm varrezash Qender Luf dhe Rrethim varreze Ferth</t>
  </si>
  <si>
    <t>Riparim I urave Pemake,cobaj,Dush,Quti,Ferthbrraka,Pla,Zorrkal etj NJA Qerret</t>
  </si>
  <si>
    <t>Riparim mure mbajtes Puke</t>
  </si>
  <si>
    <t>Ure dekorative tek Liqeni Puke</t>
  </si>
  <si>
    <t>Rruga Marvataj fshati Blinisht</t>
  </si>
  <si>
    <t>Blerje pajisje per ngrohje</t>
  </si>
  <si>
    <t>Pajisje teknike+uniforma MZSH</t>
  </si>
  <si>
    <t>Blerje pajisje per MZSH</t>
  </si>
  <si>
    <t>Bl Paisje Q Sociale</t>
  </si>
  <si>
    <t>Pllaka per shtrim rruga rezervuarit</t>
  </si>
  <si>
    <t>numër</t>
  </si>
  <si>
    <t>km2</t>
  </si>
  <si>
    <t>orë në ditë</t>
  </si>
  <si>
    <t>m2</t>
  </si>
  <si>
    <t>km</t>
  </si>
  <si>
    <t>ha</t>
  </si>
  <si>
    <t>në ditë</t>
  </si>
  <si>
    <t>në sekonda</t>
  </si>
  <si>
    <t>në minuta</t>
  </si>
  <si>
    <t>352</t>
  </si>
  <si>
    <t>Punonjës të trajnuar</t>
  </si>
  <si>
    <t>776</t>
  </si>
  <si>
    <t>Numri i tregjeve funksionale të aprovuara (bujqësor, industrial etj)</t>
  </si>
  <si>
    <t>754</t>
  </si>
  <si>
    <t>Numri i instrumentave të përdorur nga bashkia: - numri i planeve sektoriale që mbulojnë vitin në shqyrtim</t>
  </si>
  <si>
    <t>781</t>
  </si>
  <si>
    <t>Numri i instrumentave të përdorur nga bashkia: -plani i përgjithshëm vendor mbulon vitin në shqyrtim</t>
  </si>
  <si>
    <t>240</t>
  </si>
  <si>
    <t>Numri i personave të mbështetur (të papunë) me asistencë sociale</t>
  </si>
  <si>
    <t>260</t>
  </si>
  <si>
    <t>Numri i rasteve të gjetura/ inspektuar të tregtimit të produkteve bujqësore dhe blegtorale në vende dhe tregje informale</t>
  </si>
  <si>
    <t>211</t>
  </si>
  <si>
    <t>Numri i dokumentave të prodhuar / lëshuar nga gjendja civile</t>
  </si>
  <si>
    <t>125</t>
  </si>
  <si>
    <t>Koha mesatare e pritjes në minuta për të marrë 1 certifikatë</t>
  </si>
  <si>
    <t>253</t>
  </si>
  <si>
    <t>Numri i punonjësve të policisë bashkiake të trajnuar</t>
  </si>
  <si>
    <t>169</t>
  </si>
  <si>
    <t>Mbështetje e policisë së shtetit për ndërtimet pa leje</t>
  </si>
  <si>
    <t>15</t>
  </si>
  <si>
    <t>Ankesa / konflikte të zgjidhura nga policia bashkiake</t>
  </si>
  <si>
    <t>17</t>
  </si>
  <si>
    <t>Ankesa të ardhura në policinë bashkiake</t>
  </si>
  <si>
    <t>118</t>
  </si>
  <si>
    <t>Koha e daljes nga stacioni (në sekonda)</t>
  </si>
  <si>
    <t>468</t>
  </si>
  <si>
    <t>Sipërfaqja e mbuluar me shërbimin e fikjes së zjarrit dhe shpëtimit (në km2)</t>
  </si>
  <si>
    <t>363</t>
  </si>
  <si>
    <t>Raste të menaxhuara për shuarjen e zjarrit dhe shpëtimit</t>
  </si>
  <si>
    <t>878</t>
  </si>
  <si>
    <t>Makinë zjarrfikëse e re</t>
  </si>
  <si>
    <t>656</t>
  </si>
  <si>
    <t>Koha e pajisjes me dokumenta nga qkb / emetimi i certifikatave; lejeve; etj (t)</t>
  </si>
  <si>
    <t>144</t>
  </si>
  <si>
    <t>Kontrolle dhe inspektime të fondit pyjor dhe kullosor</t>
  </si>
  <si>
    <t>75</t>
  </si>
  <si>
    <t>Numri i pemëve të reja të kultivuara në vit në fondin pyjor</t>
  </si>
  <si>
    <t>209</t>
  </si>
  <si>
    <t>Numri i çertifikatave të lëshuara</t>
  </si>
  <si>
    <t>533</t>
  </si>
  <si>
    <t>Zënie e hapësirave pyjore (në ha)</t>
  </si>
  <si>
    <t>60</t>
  </si>
  <si>
    <t>Familje përfituese nga shërbimi i ujitjes dhe kullimit</t>
  </si>
  <si>
    <t>425</t>
  </si>
  <si>
    <t>Sipërfaqe e tokës bujqësore e mbuluar me sistem ujitës (në ha)</t>
  </si>
  <si>
    <t>106</t>
  </si>
  <si>
    <t>Km kanal ujitës të pastruar</t>
  </si>
  <si>
    <t>569</t>
  </si>
  <si>
    <t>Sipërfaqe e tokës e kultivuar (në ha)</t>
  </si>
  <si>
    <t>371</t>
  </si>
  <si>
    <t>Rrjet rrugor i mirëmbajtur (në km)</t>
  </si>
  <si>
    <t>278</t>
  </si>
  <si>
    <t>Numri i strukturave të reja</t>
  </si>
  <si>
    <t>Sipërfaqe e mbuluar me shërbimin e menaxhimit të mbetjeve në km2</t>
  </si>
  <si>
    <t>Popullata e mbuluar me shërbimin e menaxhimit të mbetjeve</t>
  </si>
  <si>
    <t>Kosha / kazanë të rinj</t>
  </si>
  <si>
    <t>747</t>
  </si>
  <si>
    <t>338</t>
  </si>
  <si>
    <t>150</t>
  </si>
  <si>
    <t>314</t>
  </si>
  <si>
    <t>Numri i pemëve dekorative të mbjella në vit në hapësirat publike</t>
  </si>
  <si>
    <t>471</t>
  </si>
  <si>
    <t>Sipërfaqja e trotuarëve të mirëmbajtur (në m2)</t>
  </si>
  <si>
    <t>432</t>
  </si>
  <si>
    <t>Sipërfaqe e gjelbër e mirëmbajtur në vit (në m2)</t>
  </si>
  <si>
    <t>571</t>
  </si>
  <si>
    <t>Pajisje infrastrukturore të mirëmbajtura në vit</t>
  </si>
  <si>
    <t>572</t>
  </si>
  <si>
    <t>Sipërfaqe e gjelbëruar e shtuar (në m2)</t>
  </si>
  <si>
    <t>340</t>
  </si>
  <si>
    <t>Popullata që përfiton nga shërbimi me ujë të pijshëm</t>
  </si>
  <si>
    <t>140</t>
  </si>
  <si>
    <t>Kohëzgjatja e ofrimit të ujit të pijshëm(mesatarisht orë/ditë)</t>
  </si>
  <si>
    <t>753</t>
  </si>
  <si>
    <t>Popullësia e mbulluar me shërbimin e ujërave të zeza dhe kanalizime (shërbime sanitare)</t>
  </si>
  <si>
    <t>474</t>
  </si>
  <si>
    <t>Sipërfaqe e hapësirave publike e mbuluar me ndriçim në km2</t>
  </si>
  <si>
    <t>438</t>
  </si>
  <si>
    <t>Sipërfaqe publike e mbuluar me ndriçim e mirëmbajtur (në km2)</t>
  </si>
  <si>
    <t>810</t>
  </si>
  <si>
    <t>Numri i ambulancave të ristrukturuara</t>
  </si>
  <si>
    <t>724</t>
  </si>
  <si>
    <t>Numri i  aktiviteteve sportive rinore, etj, që kërkojnë mbështetje dhe asistencë gjatë vitit</t>
  </si>
  <si>
    <t>405</t>
  </si>
  <si>
    <t>Shkolla të mesme të mirëmbajtura / rikonstruktuara</t>
  </si>
  <si>
    <t>745</t>
  </si>
  <si>
    <t>Numër personash të asistuar me pagesë invaliditeti dhe paaftësie</t>
  </si>
  <si>
    <t>235</t>
  </si>
  <si>
    <t>Numri i projekteve të reja për komunitetin</t>
  </si>
  <si>
    <t>757</t>
  </si>
  <si>
    <t>Numri i projekteve rehabilituese për komunitetin</t>
  </si>
  <si>
    <t>58</t>
  </si>
  <si>
    <t>Familje në nevojë që përfitojnë nga ndihma ekonomike</t>
  </si>
  <si>
    <t>770</t>
  </si>
  <si>
    <t>Numri i përfituesve të trajtuar në qendrat ditore</t>
  </si>
  <si>
    <t>141</t>
  </si>
  <si>
    <t>Numri i konsultimeve publike të kryera</t>
  </si>
  <si>
    <t>Numri i rasteve të gjetura / inspektuara të tregtimit të produkteve në tregje informale, ndryshimi vjetor në numër</t>
  </si>
  <si>
    <t>Numri i turistëve të akomoduar në hotele, ndryshimi vjetor në numër</t>
  </si>
  <si>
    <t>Numri i dokumentave të prodhuar / lëshuar, ndryshimi vjetor në numër</t>
  </si>
  <si>
    <t>Numri i rasteve të menaxhuara për shuarjen e zjarrit  (ndryshimi vjetor në numër)</t>
  </si>
  <si>
    <t>Plan menaxhimi (numri i pemëve të shtuara në vit sipas nevojës) ndryshimi vjetor në numër</t>
  </si>
  <si>
    <t>Numri i linjave interurbane të transportit publik (rritja vjetore në numër)</t>
  </si>
  <si>
    <t>Numri i automjeteve të tranportit publik interurban (ndryshimi vjetor në numër)</t>
  </si>
  <si>
    <t>Km linear trotuar (ndryshimi vjetor në km linear)</t>
  </si>
  <si>
    <t>Numri i shfaqjeve kulturore; artistike të mbështetura me fondet e bashkisë (ndryshimi vjetor në numër)</t>
  </si>
  <si>
    <t>Numri i shfaqeve kulturore; evente artistike të mbështetura me fondet e bashkisë</t>
  </si>
  <si>
    <t>Banesa sociale me kosto të ulët (autoriteti i banesave), ndryshimi vjetor në numër</t>
  </si>
  <si>
    <t>Numri i projekteve rehabilituese për komunitetin, ndryshimi vjetor në numër</t>
  </si>
  <si>
    <t>Numri i projekteve të reja për komunitetin, ndryshimi vjetor në numër</t>
  </si>
  <si>
    <t>Numri mesatar i fëmijëve për çdo edukatore në çerdhe</t>
  </si>
  <si>
    <t>Familje që përfitojnë ndihmë ekonomike, ndryshimi në numër kundrejt vitit të kaluar</t>
  </si>
  <si>
    <t>Qytetarët / komuniteti është aktiv në hartimin dhe zbatimin e politikave vendore</t>
  </si>
  <si>
    <t>Numri i konsultimeve me komunitetin ndaj numrit të konsultimeve të parashikuara me ligj</t>
  </si>
  <si>
    <t>Blerje pajisjesh Bashkia dhe Njesite</t>
  </si>
  <si>
    <t>Buxheti 2021</t>
  </si>
  <si>
    <t>Buxheti 2021 Kontraktuar</t>
  </si>
  <si>
    <t>Plani i buxhetit viti 2021</t>
  </si>
  <si>
    <t>Punime ne urat Perpalaj,Vathaj,Caraj,etj</t>
  </si>
  <si>
    <t>Ura dy prroj Ukmemaj , fshati Bicaj</t>
  </si>
  <si>
    <t>Ndertim Tombina pozhem</t>
  </si>
  <si>
    <t>Mure mbajtes lagje Preqaj</t>
  </si>
  <si>
    <t>Rrethi I shkolles 9 vjecare Rrape</t>
  </si>
  <si>
    <t>Investime</t>
  </si>
  <si>
    <t>Punime Sherbime</t>
  </si>
  <si>
    <t>Ujësjellës Gjegjan dhe Luf</t>
  </si>
  <si>
    <t>6370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</si>
</sst>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rgb="FFC00000"/>
      <name val="Arial"/>
      <family val="2"/>
    </font>
    <font>
      <sz val="1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993300"/>
      <name val="Arial"/>
      <family val="2"/>
    </font>
    <font>
      <b/>
      <sz val="8"/>
      <color rgb="FF993300"/>
      <name val="Arial"/>
      <family val="2"/>
    </font>
    <font>
      <sz val="10"/>
      <color rgb="FF000000"/>
      <name val="Arial"/>
      <family val="2"/>
    </font>
    <font>
      <b/>
      <sz val="9"/>
      <color rgb="FF993300"/>
      <name val="Arial"/>
      <family val="2"/>
    </font>
    <font>
      <b/>
      <sz val="11"/>
      <color rgb="FF9933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C0000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b/>
      <u/>
      <sz val="10"/>
      <color rgb="FFC0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9933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37" fillId="0" borderId="0"/>
    <xf numFmtId="43" fontId="3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2" applyFont="1" applyFill="1" applyAlignment="1">
      <alignment vertical="center"/>
    </xf>
    <xf numFmtId="0" fontId="6" fillId="0" borderId="0" xfId="3" applyFont="1" applyAlignment="1">
      <alignment horizontal="center" wrapText="1"/>
    </xf>
    <xf numFmtId="0" fontId="8" fillId="0" borderId="0" xfId="3" applyFont="1"/>
    <xf numFmtId="0" fontId="8" fillId="0" borderId="0" xfId="3" applyFont="1" applyAlignment="1">
      <alignment horizontal="center" wrapText="1"/>
    </xf>
    <xf numFmtId="0" fontId="5" fillId="0" borderId="0" xfId="3"/>
    <xf numFmtId="0" fontId="9" fillId="0" borderId="0" xfId="3" applyFont="1" applyAlignment="1">
      <alignment horizontal="center" wrapText="1"/>
    </xf>
    <xf numFmtId="0" fontId="8" fillId="0" borderId="1" xfId="3" applyFont="1" applyFill="1" applyBorder="1" applyAlignment="1"/>
    <xf numFmtId="0" fontId="8" fillId="0" borderId="2" xfId="3" applyFont="1" applyFill="1" applyBorder="1" applyAlignment="1"/>
    <xf numFmtId="0" fontId="8" fillId="0" borderId="2" xfId="3" applyFont="1" applyFill="1" applyBorder="1" applyAlignment="1">
      <alignment horizontal="center" wrapText="1"/>
    </xf>
    <xf numFmtId="0" fontId="8" fillId="0" borderId="3" xfId="3" applyFont="1" applyFill="1" applyBorder="1" applyAlignment="1">
      <alignment horizontal="center" wrapText="1"/>
    </xf>
    <xf numFmtId="0" fontId="10" fillId="0" borderId="4" xfId="3" applyFont="1" applyFill="1" applyBorder="1" applyAlignment="1"/>
    <xf numFmtId="0" fontId="10" fillId="0" borderId="8" xfId="3" applyFont="1" applyFill="1" applyBorder="1" applyAlignment="1">
      <alignment horizontal="center" wrapText="1"/>
    </xf>
    <xf numFmtId="0" fontId="10" fillId="0" borderId="10" xfId="3" applyFont="1" applyFill="1" applyBorder="1" applyAlignment="1"/>
    <xf numFmtId="0" fontId="8" fillId="0" borderId="0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center" wrapText="1"/>
    </xf>
    <xf numFmtId="0" fontId="10" fillId="0" borderId="0" xfId="3" applyFont="1" applyFill="1" applyBorder="1" applyAlignment="1">
      <alignment horizontal="center" wrapText="1"/>
    </xf>
    <xf numFmtId="0" fontId="8" fillId="0" borderId="11" xfId="3" applyFont="1" applyFill="1" applyBorder="1" applyAlignment="1">
      <alignment horizontal="center" wrapText="1"/>
    </xf>
    <xf numFmtId="49" fontId="12" fillId="0" borderId="15" xfId="3" applyNumberFormat="1" applyFont="1" applyFill="1" applyBorder="1" applyAlignment="1">
      <alignment horizontal="center" vertical="center" wrapText="1"/>
    </xf>
    <xf numFmtId="49" fontId="12" fillId="0" borderId="16" xfId="3" applyNumberFormat="1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164" fontId="8" fillId="2" borderId="15" xfId="3" applyNumberFormat="1" applyFont="1" applyFill="1" applyBorder="1" applyAlignment="1">
      <alignment horizontal="center" wrapText="1"/>
    </xf>
    <xf numFmtId="0" fontId="8" fillId="0" borderId="8" xfId="3" applyFont="1" applyBorder="1" applyAlignment="1">
      <alignment horizontal="center" wrapText="1"/>
    </xf>
    <xf numFmtId="164" fontId="10" fillId="3" borderId="28" xfId="3" applyNumberFormat="1" applyFont="1" applyFill="1" applyBorder="1" applyAlignment="1">
      <alignment horizontal="center" vertical="top" wrapText="1"/>
    </xf>
    <xf numFmtId="164" fontId="14" fillId="3" borderId="30" xfId="3" applyNumberFormat="1" applyFont="1" applyFill="1" applyBorder="1" applyAlignment="1">
      <alignment horizontal="center" wrapText="1"/>
    </xf>
    <xf numFmtId="0" fontId="4" fillId="0" borderId="0" xfId="2" applyFont="1" applyAlignment="1">
      <alignment vertical="center"/>
    </xf>
    <xf numFmtId="0" fontId="0" fillId="0" borderId="0" xfId="0"/>
    <xf numFmtId="0" fontId="16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2"/>
    <xf numFmtId="0" fontId="0" fillId="4" borderId="0" xfId="0" applyFill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2" xfId="0" applyFont="1" applyBorder="1" applyAlignment="1">
      <alignment horizontal="right" vertical="center" wrapText="1"/>
    </xf>
    <xf numFmtId="0" fontId="19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3" fillId="2" borderId="44" xfId="0" quotePrefix="1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9" fontId="1" fillId="0" borderId="7" xfId="1" applyFont="1" applyFill="1" applyBorder="1" applyAlignment="1">
      <alignment horizontal="center" vertical="center" wrapText="1"/>
    </xf>
    <xf numFmtId="9" fontId="31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37" xfId="0" applyFont="1" applyFill="1" applyBorder="1" applyAlignment="1">
      <alignment horizontal="center" vertical="center" wrapText="1"/>
    </xf>
    <xf numFmtId="9" fontId="3" fillId="3" borderId="7" xfId="1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righ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3" fillId="0" borderId="0" xfId="2" applyFill="1" applyAlignment="1">
      <alignment vertical="center"/>
    </xf>
    <xf numFmtId="0" fontId="3" fillId="0" borderId="0" xfId="2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32" fillId="0" borderId="0" xfId="2" applyFont="1" applyFill="1" applyBorder="1" applyAlignment="1">
      <alignment vertical="center"/>
    </xf>
    <xf numFmtId="0" fontId="3" fillId="0" borderId="0" xfId="2" applyFill="1" applyAlignment="1">
      <alignment vertical="center" wrapText="1"/>
    </xf>
    <xf numFmtId="0" fontId="11" fillId="0" borderId="0" xfId="2" applyFont="1" applyFill="1" applyAlignment="1">
      <alignment vertical="center" wrapText="1"/>
    </xf>
    <xf numFmtId="0" fontId="3" fillId="0" borderId="0" xfId="2" applyFill="1" applyBorder="1" applyAlignment="1">
      <alignment vertical="center" wrapText="1"/>
    </xf>
    <xf numFmtId="0" fontId="3" fillId="2" borderId="8" xfId="2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33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3" fontId="3" fillId="2" borderId="59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5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0" fillId="3" borderId="31" xfId="3" applyNumberFormat="1" applyFont="1" applyFill="1" applyBorder="1" applyAlignment="1">
      <alignment horizontal="center" vertical="top" wrapText="1"/>
    </xf>
    <xf numFmtId="0" fontId="10" fillId="0" borderId="14" xfId="3" applyFont="1" applyBorder="1" applyAlignment="1">
      <alignment vertical="center" wrapText="1"/>
    </xf>
    <xf numFmtId="0" fontId="35" fillId="2" borderId="8" xfId="2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 wrapText="1"/>
    </xf>
    <xf numFmtId="49" fontId="13" fillId="2" borderId="21" xfId="3" applyNumberFormat="1" applyFont="1" applyFill="1" applyBorder="1" applyAlignment="1">
      <alignment horizontal="center" vertical="center" wrapText="1"/>
    </xf>
    <xf numFmtId="3" fontId="18" fillId="6" borderId="2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9" fillId="3" borderId="47" xfId="0" applyFont="1" applyFill="1" applyBorder="1" applyAlignment="1">
      <alignment horizontal="center" vertical="center" wrapText="1"/>
    </xf>
    <xf numFmtId="0" fontId="0" fillId="0" borderId="0" xfId="0" applyFill="1"/>
    <xf numFmtId="0" fontId="13" fillId="2" borderId="22" xfId="3" applyFont="1" applyFill="1" applyBorder="1" applyAlignment="1">
      <alignment horizontal="center" vertical="center" wrapText="1"/>
    </xf>
    <xf numFmtId="49" fontId="13" fillId="2" borderId="8" xfId="3" applyNumberFormat="1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164" fontId="8" fillId="2" borderId="8" xfId="3" applyNumberFormat="1" applyFont="1" applyFill="1" applyBorder="1" applyAlignment="1">
      <alignment horizontal="center" wrapText="1"/>
    </xf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36" fillId="0" borderId="0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38" fillId="0" borderId="0" xfId="2" applyFont="1" applyAlignment="1">
      <alignment vertical="center"/>
    </xf>
    <xf numFmtId="0" fontId="39" fillId="0" borderId="0" xfId="0" applyFont="1"/>
    <xf numFmtId="0" fontId="16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6" fillId="0" borderId="33" xfId="0" applyFont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40" fillId="5" borderId="39" xfId="0" applyFont="1" applyFill="1" applyBorder="1" applyAlignment="1">
      <alignment horizontal="center" vertical="center" wrapText="1"/>
    </xf>
    <xf numFmtId="0" fontId="39" fillId="0" borderId="0" xfId="0" applyFont="1" applyFill="1"/>
    <xf numFmtId="0" fontId="40" fillId="5" borderId="34" xfId="0" applyFont="1" applyFill="1" applyBorder="1" applyAlignment="1">
      <alignment horizontal="center" vertical="center" wrapText="1"/>
    </xf>
    <xf numFmtId="0" fontId="40" fillId="5" borderId="32" xfId="0" applyFont="1" applyFill="1" applyBorder="1" applyAlignment="1">
      <alignment horizontal="center" vertical="center" wrapText="1"/>
    </xf>
    <xf numFmtId="0" fontId="40" fillId="5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3" fontId="17" fillId="6" borderId="26" xfId="0" applyNumberFormat="1" applyFont="1" applyFill="1" applyBorder="1" applyAlignment="1">
      <alignment horizontal="center" vertical="center" wrapText="1"/>
    </xf>
    <xf numFmtId="0" fontId="40" fillId="5" borderId="40" xfId="0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9" fillId="2" borderId="3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39" fillId="0" borderId="0" xfId="0" applyFont="1" applyBorder="1"/>
    <xf numFmtId="0" fontId="39" fillId="0" borderId="0" xfId="0" applyFont="1" applyFill="1" applyBorder="1"/>
    <xf numFmtId="0" fontId="19" fillId="2" borderId="27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5" xfId="0" applyFill="1" applyBorder="1"/>
    <xf numFmtId="164" fontId="8" fillId="0" borderId="8" xfId="3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5" fillId="2" borderId="51" xfId="0" applyFont="1" applyFill="1" applyBorder="1" applyAlignment="1">
      <alignment horizontal="center" vertical="center" wrapText="1"/>
    </xf>
    <xf numFmtId="3" fontId="3" fillId="2" borderId="59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vertical="center"/>
    </xf>
    <xf numFmtId="0" fontId="10" fillId="0" borderId="20" xfId="3" applyFont="1" applyFill="1" applyBorder="1" applyAlignment="1">
      <alignment horizontal="center" vertical="center" wrapText="1"/>
    </xf>
    <xf numFmtId="0" fontId="10" fillId="0" borderId="23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left" wrapText="1"/>
    </xf>
    <xf numFmtId="0" fontId="8" fillId="2" borderId="6" xfId="3" applyFont="1" applyFill="1" applyBorder="1" applyAlignment="1">
      <alignment horizontal="left" wrapText="1"/>
    </xf>
    <xf numFmtId="0" fontId="8" fillId="2" borderId="7" xfId="3" applyFont="1" applyFill="1" applyBorder="1" applyAlignment="1">
      <alignment horizontal="left" wrapText="1"/>
    </xf>
    <xf numFmtId="0" fontId="10" fillId="2" borderId="5" xfId="3" applyFont="1" applyFill="1" applyBorder="1" applyAlignment="1">
      <alignment horizontal="center" wrapText="1"/>
    </xf>
    <xf numFmtId="0" fontId="10" fillId="2" borderId="9" xfId="3" applyFont="1" applyFill="1" applyBorder="1" applyAlignment="1">
      <alignment horizontal="center" wrapText="1"/>
    </xf>
    <xf numFmtId="0" fontId="11" fillId="0" borderId="12" xfId="3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1" fillId="0" borderId="17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wrapText="1"/>
    </xf>
    <xf numFmtId="0" fontId="9" fillId="0" borderId="6" xfId="3" applyFont="1" applyFill="1" applyBorder="1" applyAlignment="1">
      <alignment horizontal="center" wrapText="1"/>
    </xf>
    <xf numFmtId="0" fontId="9" fillId="0" borderId="9" xfId="3" applyFont="1" applyFill="1" applyBorder="1" applyAlignment="1">
      <alignment horizontal="center" wrapText="1"/>
    </xf>
    <xf numFmtId="0" fontId="10" fillId="0" borderId="26" xfId="3" applyFont="1" applyFill="1" applyBorder="1" applyAlignment="1">
      <alignment horizontal="center" wrapText="1"/>
    </xf>
    <xf numFmtId="0" fontId="10" fillId="0" borderId="27" xfId="3" applyFont="1" applyFill="1" applyBorder="1" applyAlignment="1">
      <alignment horizontal="center" wrapText="1"/>
    </xf>
    <xf numFmtId="0" fontId="12" fillId="0" borderId="26" xfId="3" applyFont="1" applyFill="1" applyBorder="1" applyAlignment="1">
      <alignment horizontal="center" wrapText="1"/>
    </xf>
    <xf numFmtId="0" fontId="12" fillId="0" borderId="29" xfId="3" applyFont="1" applyFill="1" applyBorder="1" applyAlignment="1">
      <alignment horizont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 wrapText="1"/>
    </xf>
    <xf numFmtId="0" fontId="10" fillId="0" borderId="25" xfId="3" applyFont="1" applyBorder="1" applyAlignment="1">
      <alignment horizontal="center" vertical="center" wrapText="1"/>
    </xf>
    <xf numFmtId="0" fontId="10" fillId="0" borderId="18" xfId="3" applyFont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wrapText="1"/>
    </xf>
    <xf numFmtId="0" fontId="8" fillId="2" borderId="7" xfId="3" applyFont="1" applyFill="1" applyBorder="1" applyAlignment="1">
      <alignment horizontal="center" wrapText="1"/>
    </xf>
    <xf numFmtId="0" fontId="39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39" fillId="0" borderId="63" xfId="0" applyFont="1" applyBorder="1"/>
    <xf numFmtId="0" fontId="39" fillId="0" borderId="0" xfId="0" applyFont="1" applyBorder="1"/>
    <xf numFmtId="0" fontId="16" fillId="0" borderId="17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9" fillId="0" borderId="22" xfId="0" applyFont="1" applyBorder="1"/>
    <xf numFmtId="0" fontId="39" fillId="0" borderId="13" xfId="0" applyFont="1" applyBorder="1"/>
    <xf numFmtId="0" fontId="39" fillId="0" borderId="25" xfId="0" applyFont="1" applyBorder="1"/>
    <xf numFmtId="0" fontId="39" fillId="0" borderId="49" xfId="0" applyFont="1" applyBorder="1"/>
    <xf numFmtId="0" fontId="39" fillId="0" borderId="18" xfId="0" applyFont="1" applyBorder="1"/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9" fillId="0" borderId="24" xfId="0" applyFont="1" applyBorder="1"/>
    <xf numFmtId="0" fontId="10" fillId="0" borderId="8" xfId="2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3" fontId="3" fillId="3" borderId="37" xfId="0" applyNumberFormat="1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3" fontId="3" fillId="3" borderId="60" xfId="0" applyNumberFormat="1" applyFont="1" applyFill="1" applyBorder="1" applyAlignment="1">
      <alignment horizontal="center" vertical="center" wrapText="1"/>
    </xf>
    <xf numFmtId="0" fontId="31" fillId="0" borderId="53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0" fillId="0" borderId="0" xfId="0"/>
    <xf numFmtId="0" fontId="11" fillId="0" borderId="4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5" fillId="2" borderId="51" xfId="0" applyFont="1" applyFill="1" applyBorder="1" applyAlignment="1">
      <alignment horizontal="center" vertical="center" wrapText="1"/>
    </xf>
    <xf numFmtId="3" fontId="3" fillId="2" borderId="59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3" borderId="59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9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3" fontId="3" fillId="3" borderId="60" xfId="0" applyNumberFormat="1" applyFont="1" applyFill="1" applyBorder="1" applyAlignment="1">
      <alignment horizontal="center" vertical="center"/>
    </xf>
    <xf numFmtId="3" fontId="3" fillId="3" borderId="59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61" xfId="0" applyNumberFormat="1" applyFont="1" applyFill="1" applyBorder="1" applyAlignment="1">
      <alignment horizontal="center" vertical="center"/>
    </xf>
    <xf numFmtId="3" fontId="3" fillId="3" borderId="61" xfId="0" applyNumberFormat="1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39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2" borderId="52" xfId="0" applyNumberFormat="1" applyFont="1" applyFill="1" applyBorder="1" applyAlignment="1">
      <alignment horizontal="center" vertical="center" wrapText="1"/>
    </xf>
    <xf numFmtId="0" fontId="30" fillId="2" borderId="8" xfId="0" applyNumberFormat="1" applyFont="1" applyFill="1" applyBorder="1" applyAlignment="1">
      <alignment horizontal="center" vertical="center" wrapText="1"/>
    </xf>
    <xf numFmtId="0" fontId="30" fillId="2" borderId="37" xfId="0" applyNumberFormat="1" applyFont="1" applyFill="1" applyBorder="1" applyAlignment="1">
      <alignment horizontal="center" vertical="center" wrapText="1"/>
    </xf>
  </cellXfs>
  <cellStyles count="6">
    <cellStyle name="Comma 2 3" xfId="5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workbookViewId="0">
      <selection activeCell="B9" sqref="B9"/>
    </sheetView>
  </sheetViews>
  <sheetFormatPr defaultRowHeight="15" x14ac:dyDescent="0.25"/>
  <cols>
    <col min="2" max="2" width="47.7109375" customWidth="1"/>
    <col min="4" max="4" width="7.85546875" customWidth="1"/>
    <col min="5" max="5" width="10.5703125" customWidth="1"/>
    <col min="6" max="6" width="11.140625" customWidth="1"/>
    <col min="7" max="7" width="12.5703125" customWidth="1"/>
    <col min="9" max="9" width="12.85546875" customWidth="1"/>
  </cols>
  <sheetData>
    <row r="1" spans="1:11" ht="15.75" x14ac:dyDescent="0.25">
      <c r="A1" s="1" t="s">
        <v>0</v>
      </c>
      <c r="B1" s="1"/>
      <c r="C1" s="1"/>
      <c r="D1" s="1"/>
      <c r="E1" s="2"/>
      <c r="F1" s="2"/>
      <c r="G1" s="2">
        <v>2021</v>
      </c>
      <c r="H1" s="2"/>
      <c r="I1" s="2"/>
      <c r="J1" s="29"/>
      <c r="K1" s="29"/>
    </row>
    <row r="2" spans="1:11" ht="15.75" customHeight="1" thickBot="1" x14ac:dyDescent="0.3">
      <c r="A2" s="3"/>
      <c r="B2" s="3"/>
      <c r="C2" s="3"/>
      <c r="D2" s="4"/>
      <c r="E2" s="4"/>
      <c r="F2" s="4"/>
      <c r="G2" s="5"/>
      <c r="H2" s="4"/>
      <c r="I2" s="6" t="s">
        <v>91</v>
      </c>
      <c r="J2" s="29"/>
      <c r="K2" s="29"/>
    </row>
    <row r="3" spans="1:11" x14ac:dyDescent="0.25">
      <c r="A3" s="7"/>
      <c r="B3" s="8" t="s">
        <v>291</v>
      </c>
      <c r="C3" s="8"/>
      <c r="D3" s="9"/>
      <c r="E3" s="9"/>
      <c r="F3" s="9"/>
      <c r="G3" s="9"/>
      <c r="H3" s="9"/>
      <c r="I3" s="10"/>
      <c r="J3" s="29"/>
      <c r="K3" s="29"/>
    </row>
    <row r="4" spans="1:11" x14ac:dyDescent="0.25">
      <c r="A4" s="11" t="s">
        <v>1</v>
      </c>
      <c r="B4" s="213"/>
      <c r="C4" s="214"/>
      <c r="D4" s="214"/>
      <c r="E4" s="214"/>
      <c r="F4" s="215"/>
      <c r="G4" s="12" t="s">
        <v>2</v>
      </c>
      <c r="H4" s="216"/>
      <c r="I4" s="217"/>
      <c r="J4" s="29"/>
      <c r="K4" s="29"/>
    </row>
    <row r="5" spans="1:11" x14ac:dyDescent="0.25">
      <c r="A5" s="13"/>
      <c r="B5" s="14"/>
      <c r="C5" s="14"/>
      <c r="D5" s="15"/>
      <c r="E5" s="15"/>
      <c r="F5" s="15"/>
      <c r="G5" s="15"/>
      <c r="H5" s="16"/>
      <c r="I5" s="17"/>
      <c r="J5" s="29"/>
      <c r="K5" s="29"/>
    </row>
    <row r="6" spans="1:11" x14ac:dyDescent="0.25">
      <c r="A6" s="218" t="s">
        <v>3</v>
      </c>
      <c r="B6" s="219"/>
      <c r="C6" s="224" t="s">
        <v>4</v>
      </c>
      <c r="D6" s="225"/>
      <c r="E6" s="225"/>
      <c r="F6" s="225"/>
      <c r="G6" s="225"/>
      <c r="H6" s="225"/>
      <c r="I6" s="226"/>
      <c r="J6" s="29"/>
      <c r="K6" s="29"/>
    </row>
    <row r="7" spans="1:11" x14ac:dyDescent="0.25">
      <c r="A7" s="220"/>
      <c r="B7" s="221"/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9" t="s">
        <v>11</v>
      </c>
      <c r="J7" s="29"/>
      <c r="K7" s="29"/>
    </row>
    <row r="8" spans="1:11" ht="10.5" customHeight="1" x14ac:dyDescent="0.25">
      <c r="A8" s="222"/>
      <c r="B8" s="223"/>
      <c r="C8" s="20" t="s">
        <v>12</v>
      </c>
      <c r="D8" s="20" t="s">
        <v>13</v>
      </c>
      <c r="E8" s="20" t="s">
        <v>14</v>
      </c>
      <c r="F8" s="20" t="s">
        <v>14</v>
      </c>
      <c r="G8" s="20" t="s">
        <v>14</v>
      </c>
      <c r="H8" s="20" t="s">
        <v>12</v>
      </c>
      <c r="I8" s="211" t="s">
        <v>15</v>
      </c>
      <c r="J8" s="29"/>
      <c r="K8" s="29"/>
    </row>
    <row r="9" spans="1:11" ht="33.75" x14ac:dyDescent="0.25">
      <c r="A9" s="21" t="s">
        <v>16</v>
      </c>
      <c r="B9" s="22" t="s">
        <v>17</v>
      </c>
      <c r="C9" s="23" t="s">
        <v>296</v>
      </c>
      <c r="D9" s="23" t="s">
        <v>297</v>
      </c>
      <c r="E9" s="23" t="s">
        <v>298</v>
      </c>
      <c r="F9" s="23" t="s">
        <v>299</v>
      </c>
      <c r="G9" s="23" t="s">
        <v>300</v>
      </c>
      <c r="H9" s="23" t="s">
        <v>92</v>
      </c>
      <c r="I9" s="212"/>
      <c r="J9" s="29"/>
      <c r="K9" s="29"/>
    </row>
    <row r="10" spans="1:11" x14ac:dyDescent="0.25">
      <c r="A10" s="112">
        <v>1110</v>
      </c>
      <c r="B10" s="111" t="s">
        <v>18</v>
      </c>
      <c r="C10" s="24">
        <f>'Aneksi 2'!C30</f>
        <v>48682</v>
      </c>
      <c r="D10" s="24">
        <f>'Aneksi 2'!D30</f>
        <v>63978</v>
      </c>
      <c r="E10" s="24">
        <f>'Aneksi 2'!E30</f>
        <v>63978</v>
      </c>
      <c r="F10" s="24">
        <f>'Aneksi 2'!F30</f>
        <v>60825</v>
      </c>
      <c r="G10" s="24">
        <f>'Aneksi 2'!G30</f>
        <v>60825</v>
      </c>
      <c r="H10" s="24">
        <f>'Aneksi 2'!H30</f>
        <v>57985</v>
      </c>
      <c r="I10" s="24">
        <f>'Aneksi 2'!I30</f>
        <v>-2840</v>
      </c>
      <c r="J10" s="29"/>
      <c r="K10" s="29"/>
    </row>
    <row r="11" spans="1:11" x14ac:dyDescent="0.25">
      <c r="A11" s="112">
        <v>1170</v>
      </c>
      <c r="B11" s="111" t="s">
        <v>93</v>
      </c>
      <c r="C11" s="24">
        <f>'Aneksi 2'!C69</f>
        <v>2253</v>
      </c>
      <c r="D11" s="24">
        <f>'Aneksi 2'!D69</f>
        <v>2380</v>
      </c>
      <c r="E11" s="24">
        <f>'Aneksi 2'!E69</f>
        <v>2380</v>
      </c>
      <c r="F11" s="24">
        <f>'Aneksi 2'!F69</f>
        <v>2380</v>
      </c>
      <c r="G11" s="24">
        <f>'Aneksi 2'!G69</f>
        <v>2380</v>
      </c>
      <c r="H11" s="24">
        <f>'Aneksi 2'!H69</f>
        <v>2342</v>
      </c>
      <c r="I11" s="24">
        <f>'Aneksi 2'!I69</f>
        <v>-38</v>
      </c>
      <c r="J11" s="29"/>
      <c r="K11" s="29"/>
    </row>
    <row r="12" spans="1:11" x14ac:dyDescent="0.25">
      <c r="A12" s="112">
        <v>1710</v>
      </c>
      <c r="B12" s="111" t="s">
        <v>94</v>
      </c>
      <c r="C12" s="24">
        <f>'Aneksi 2'!C110</f>
        <v>3063</v>
      </c>
      <c r="D12" s="24">
        <f>'Aneksi 2'!D110</f>
        <v>7000</v>
      </c>
      <c r="E12" s="24">
        <f>'Aneksi 2'!E110</f>
        <v>7000</v>
      </c>
      <c r="F12" s="24">
        <f>'Aneksi 2'!F110</f>
        <v>8144</v>
      </c>
      <c r="G12" s="24">
        <f>'Aneksi 2'!G110</f>
        <v>8144</v>
      </c>
      <c r="H12" s="24">
        <f>'Aneksi 2'!H110</f>
        <v>7489</v>
      </c>
      <c r="I12" s="24">
        <f>'Aneksi 2'!I110</f>
        <v>-655</v>
      </c>
      <c r="J12" s="29"/>
      <c r="K12" s="29"/>
    </row>
    <row r="13" spans="1:11" x14ac:dyDescent="0.25">
      <c r="A13" s="112">
        <v>3140</v>
      </c>
      <c r="B13" s="111" t="s">
        <v>95</v>
      </c>
      <c r="C13" s="24">
        <f>'Aneksi 2'!C152</f>
        <v>2164</v>
      </c>
      <c r="D13" s="24">
        <f>'Aneksi 2'!D152</f>
        <v>1930</v>
      </c>
      <c r="E13" s="24">
        <f>'Aneksi 2'!E152</f>
        <v>1930</v>
      </c>
      <c r="F13" s="24">
        <f>'Aneksi 2'!F152</f>
        <v>1965</v>
      </c>
      <c r="G13" s="24">
        <f>'Aneksi 2'!G152</f>
        <v>1965</v>
      </c>
      <c r="H13" s="24">
        <f>'Aneksi 2'!H152</f>
        <v>1909</v>
      </c>
      <c r="I13" s="24">
        <f>'Aneksi 2'!I152</f>
        <v>-56</v>
      </c>
      <c r="J13" s="29"/>
      <c r="K13" s="29"/>
    </row>
    <row r="14" spans="1:11" x14ac:dyDescent="0.25">
      <c r="A14" s="112">
        <v>3280</v>
      </c>
      <c r="B14" s="111" t="s">
        <v>96</v>
      </c>
      <c r="C14" s="24">
        <f>'Aneksi 2'!C192</f>
        <v>13730</v>
      </c>
      <c r="D14" s="24">
        <f>'Aneksi 2'!D192</f>
        <v>20029</v>
      </c>
      <c r="E14" s="24">
        <f>'Aneksi 2'!E192</f>
        <v>20029</v>
      </c>
      <c r="F14" s="24">
        <f>'Aneksi 2'!F192</f>
        <v>20028</v>
      </c>
      <c r="G14" s="24">
        <f>'Aneksi 2'!G192</f>
        <v>20028</v>
      </c>
      <c r="H14" s="24">
        <f>'Aneksi 2'!H192</f>
        <v>15578</v>
      </c>
      <c r="I14" s="24">
        <f>'Aneksi 2'!I192</f>
        <v>-4450</v>
      </c>
      <c r="J14" s="29"/>
      <c r="K14" s="29"/>
    </row>
    <row r="15" spans="1:11" x14ac:dyDescent="0.25">
      <c r="A15" s="112">
        <v>4130</v>
      </c>
      <c r="B15" s="111" t="s">
        <v>97</v>
      </c>
      <c r="C15" s="24">
        <f>'Aneksi 2'!C234</f>
        <v>1552</v>
      </c>
      <c r="D15" s="24">
        <f>'Aneksi 2'!D234</f>
        <v>1525</v>
      </c>
      <c r="E15" s="24">
        <f>'Aneksi 2'!E234</f>
        <v>1525</v>
      </c>
      <c r="F15" s="24">
        <f>'Aneksi 2'!F234</f>
        <v>1525</v>
      </c>
      <c r="G15" s="24">
        <f>'Aneksi 2'!G234</f>
        <v>1525</v>
      </c>
      <c r="H15" s="24">
        <f>'Aneksi 2'!H234</f>
        <v>1195</v>
      </c>
      <c r="I15" s="24">
        <f>'Aneksi 2'!I234</f>
        <v>-330</v>
      </c>
      <c r="J15" s="29"/>
      <c r="K15" s="29"/>
    </row>
    <row r="16" spans="1:11" x14ac:dyDescent="0.25">
      <c r="A16" s="112">
        <v>4260</v>
      </c>
      <c r="B16" s="111" t="s">
        <v>98</v>
      </c>
      <c r="C16" s="24">
        <f>'Aneksi 2'!C275</f>
        <v>9881</v>
      </c>
      <c r="D16" s="24">
        <f>'Aneksi 2'!D275</f>
        <v>12585</v>
      </c>
      <c r="E16" s="24">
        <f>'Aneksi 2'!E275</f>
        <v>12585</v>
      </c>
      <c r="F16" s="24">
        <f>'Aneksi 2'!F275</f>
        <v>13764</v>
      </c>
      <c r="G16" s="24">
        <f>'Aneksi 2'!G275</f>
        <v>13764</v>
      </c>
      <c r="H16" s="24">
        <f>'Aneksi 2'!H275</f>
        <v>11353</v>
      </c>
      <c r="I16" s="24">
        <f>'Aneksi 2'!I275</f>
        <v>-2411</v>
      </c>
      <c r="J16" s="29"/>
      <c r="K16" s="29"/>
    </row>
    <row r="17" spans="1:17" x14ac:dyDescent="0.25">
      <c r="A17" s="112">
        <v>4240</v>
      </c>
      <c r="B17" s="111" t="s">
        <v>99</v>
      </c>
      <c r="C17" s="24">
        <f>'Aneksi 2'!C315</f>
        <v>32072</v>
      </c>
      <c r="D17" s="24">
        <f>'Aneksi 2'!D315</f>
        <v>3458</v>
      </c>
      <c r="E17" s="24">
        <f>'Aneksi 2'!E315</f>
        <v>3458</v>
      </c>
      <c r="F17" s="24">
        <f>'Aneksi 2'!F315</f>
        <v>4458</v>
      </c>
      <c r="G17" s="24">
        <f>'Aneksi 2'!G315</f>
        <v>4458</v>
      </c>
      <c r="H17" s="24">
        <f>'Aneksi 2'!H315</f>
        <v>868</v>
      </c>
      <c r="I17" s="24">
        <f>'Aneksi 2'!I315</f>
        <v>-3590</v>
      </c>
      <c r="J17" s="29"/>
      <c r="K17" s="29"/>
    </row>
    <row r="18" spans="1:17" x14ac:dyDescent="0.25">
      <c r="A18" s="112">
        <v>4520</v>
      </c>
      <c r="B18" s="111" t="s">
        <v>100</v>
      </c>
      <c r="C18" s="24">
        <f>'Aneksi 2'!C357</f>
        <v>9782</v>
      </c>
      <c r="D18" s="24">
        <f>'Aneksi 2'!D357</f>
        <v>7596</v>
      </c>
      <c r="E18" s="24">
        <f>'Aneksi 2'!E357</f>
        <v>7596</v>
      </c>
      <c r="F18" s="24">
        <f>'Aneksi 2'!F357</f>
        <v>11965</v>
      </c>
      <c r="G18" s="24">
        <f>'Aneksi 2'!G357</f>
        <v>11965</v>
      </c>
      <c r="H18" s="24">
        <f>'Aneksi 2'!H357</f>
        <v>9063</v>
      </c>
      <c r="I18" s="24">
        <f>'Aneksi 2'!I357</f>
        <v>-2902</v>
      </c>
      <c r="J18" s="29"/>
      <c r="K18" s="29"/>
    </row>
    <row r="19" spans="1:17" x14ac:dyDescent="0.25">
      <c r="A19" s="112">
        <v>5100</v>
      </c>
      <c r="B19" s="111" t="s">
        <v>101</v>
      </c>
      <c r="C19" s="24">
        <f>'Aneksi 2'!C398</f>
        <v>7930</v>
      </c>
      <c r="D19" s="24">
        <f>'Aneksi 2'!D398</f>
        <v>11287</v>
      </c>
      <c r="E19" s="24">
        <f>'Aneksi 2'!E398</f>
        <v>11287</v>
      </c>
      <c r="F19" s="24">
        <f>'Aneksi 2'!F398</f>
        <v>10787</v>
      </c>
      <c r="G19" s="24">
        <f>'Aneksi 2'!G398</f>
        <v>10787</v>
      </c>
      <c r="H19" s="24">
        <f>'Aneksi 2'!H398</f>
        <v>7592</v>
      </c>
      <c r="I19" s="24">
        <f>'Aneksi 2'!I398</f>
        <v>-3195</v>
      </c>
      <c r="J19" s="29"/>
      <c r="K19" s="29"/>
    </row>
    <row r="20" spans="1:17" x14ac:dyDescent="0.25">
      <c r="A20" s="112">
        <v>6260</v>
      </c>
      <c r="B20" s="111" t="s">
        <v>102</v>
      </c>
      <c r="C20" s="24">
        <f>'Aneksi 2'!C439</f>
        <v>51242</v>
      </c>
      <c r="D20" s="24">
        <f>'Aneksi 2'!D439</f>
        <v>67369</v>
      </c>
      <c r="E20" s="24">
        <f>'Aneksi 2'!E439</f>
        <v>63585</v>
      </c>
      <c r="F20" s="24">
        <f>'Aneksi 2'!F439</f>
        <v>71580</v>
      </c>
      <c r="G20" s="24">
        <f>'Aneksi 2'!G439</f>
        <v>71580</v>
      </c>
      <c r="H20" s="24">
        <f>'Aneksi 2'!H439</f>
        <v>60616</v>
      </c>
      <c r="I20" s="24">
        <f>'Aneksi 2'!I439</f>
        <v>-10964</v>
      </c>
      <c r="J20" s="29"/>
      <c r="K20" s="29"/>
    </row>
    <row r="21" spans="1:17" x14ac:dyDescent="0.25">
      <c r="A21" s="112" t="s">
        <v>474</v>
      </c>
      <c r="B21" s="111" t="s">
        <v>103</v>
      </c>
      <c r="C21" s="24">
        <f>'Aneksi 2'!C481</f>
        <v>0</v>
      </c>
      <c r="D21" s="24">
        <f>'Aneksi 2'!D481</f>
        <v>0</v>
      </c>
      <c r="E21" s="24">
        <f>'Aneksi 2'!E481</f>
        <v>0</v>
      </c>
      <c r="F21" s="24">
        <f>'Aneksi 2'!F481</f>
        <v>126409</v>
      </c>
      <c r="G21" s="24">
        <f>'Aneksi 2'!G481</f>
        <v>126409</v>
      </c>
      <c r="H21" s="24">
        <f>'Aneksi 2'!H481</f>
        <v>126246</v>
      </c>
      <c r="I21" s="24">
        <f>'Aneksi 2'!I481</f>
        <v>0</v>
      </c>
      <c r="J21" s="29"/>
      <c r="K21" s="29"/>
    </row>
    <row r="22" spans="1:17" x14ac:dyDescent="0.25">
      <c r="A22" s="112">
        <v>6440</v>
      </c>
      <c r="B22" s="111" t="s">
        <v>104</v>
      </c>
      <c r="C22" s="24">
        <f>'Aneksi 2'!C520</f>
        <v>3412</v>
      </c>
      <c r="D22" s="24">
        <f>'Aneksi 2'!D520</f>
        <v>3658</v>
      </c>
      <c r="E22" s="24">
        <f>'Aneksi 2'!E520</f>
        <v>3000</v>
      </c>
      <c r="F22" s="24">
        <f>'Aneksi 2'!F520</f>
        <v>4598</v>
      </c>
      <c r="G22" s="24">
        <f>'Aneksi 2'!G520</f>
        <v>4598</v>
      </c>
      <c r="H22" s="24">
        <f>'Aneksi 2'!H520</f>
        <v>3680</v>
      </c>
      <c r="I22" s="24">
        <f>'Aneksi 2'!I520</f>
        <v>-918</v>
      </c>
      <c r="J22" s="29"/>
      <c r="K22" s="29"/>
    </row>
    <row r="23" spans="1:17" x14ac:dyDescent="0.25">
      <c r="A23" s="112">
        <v>7220</v>
      </c>
      <c r="B23" s="111" t="s">
        <v>105</v>
      </c>
      <c r="C23" s="24">
        <f>'Aneksi 2'!C562</f>
        <v>0</v>
      </c>
      <c r="D23" s="24">
        <f>'Aneksi 2'!D562</f>
        <v>0</v>
      </c>
      <c r="E23" s="24">
        <f>'Aneksi 2'!E562</f>
        <v>0</v>
      </c>
      <c r="F23" s="24">
        <f>'Aneksi 2'!F562</f>
        <v>0</v>
      </c>
      <c r="G23" s="24">
        <f>'Aneksi 2'!G562</f>
        <v>0</v>
      </c>
      <c r="H23" s="24">
        <f>'Aneksi 2'!H562</f>
        <v>0</v>
      </c>
      <c r="I23" s="24">
        <f>'Aneksi 2'!I562</f>
        <v>0</v>
      </c>
      <c r="J23" s="29"/>
      <c r="K23" s="29"/>
    </row>
    <row r="24" spans="1:17" x14ac:dyDescent="0.25">
      <c r="A24" s="112">
        <v>8130</v>
      </c>
      <c r="B24" s="111" t="s">
        <v>106</v>
      </c>
      <c r="C24" s="24">
        <f>'Aneksi 2'!C603</f>
        <v>14684</v>
      </c>
      <c r="D24" s="24">
        <f>'Aneksi 2'!D603</f>
        <v>13244</v>
      </c>
      <c r="E24" s="24">
        <f>'Aneksi 2'!E603</f>
        <v>13245</v>
      </c>
      <c r="F24" s="24">
        <f>'Aneksi 2'!F603</f>
        <v>22429</v>
      </c>
      <c r="G24" s="24">
        <f>'Aneksi 2'!G603</f>
        <v>22429</v>
      </c>
      <c r="H24" s="24">
        <f>'Aneksi 2'!H603</f>
        <v>21626</v>
      </c>
      <c r="I24" s="24">
        <f>'Aneksi 2'!I603</f>
        <v>-803</v>
      </c>
      <c r="J24" s="29"/>
      <c r="K24" s="29"/>
    </row>
    <row r="25" spans="1:17" x14ac:dyDescent="0.25">
      <c r="A25" s="112">
        <v>8220</v>
      </c>
      <c r="B25" s="111" t="s">
        <v>107</v>
      </c>
      <c r="C25" s="24">
        <f>'Aneksi 2'!C644</f>
        <v>4259</v>
      </c>
      <c r="D25" s="24">
        <f>'Aneksi 2'!D644</f>
        <v>5297</v>
      </c>
      <c r="E25" s="24">
        <f>'Aneksi 2'!E644</f>
        <v>5297</v>
      </c>
      <c r="F25" s="24">
        <f>'Aneksi 2'!F644</f>
        <v>5897</v>
      </c>
      <c r="G25" s="24">
        <f>'Aneksi 2'!G644</f>
        <v>5897</v>
      </c>
      <c r="H25" s="24">
        <f>'Aneksi 2'!H644</f>
        <v>4821</v>
      </c>
      <c r="I25" s="24">
        <f>'Aneksi 2'!I644</f>
        <v>-576</v>
      </c>
      <c r="J25" s="29"/>
      <c r="K25" s="29"/>
    </row>
    <row r="26" spans="1:17" x14ac:dyDescent="0.25">
      <c r="A26" s="112">
        <v>9120</v>
      </c>
      <c r="B26" s="111" t="s">
        <v>108</v>
      </c>
      <c r="C26" s="24">
        <f>'Aneksi 2'!C685</f>
        <v>42458</v>
      </c>
      <c r="D26" s="24">
        <f>'Aneksi 2'!D685</f>
        <v>44633</v>
      </c>
      <c r="E26" s="24">
        <f>'Aneksi 2'!E685</f>
        <v>44634</v>
      </c>
      <c r="F26" s="24">
        <f>'Aneksi 2'!F685</f>
        <v>49805</v>
      </c>
      <c r="G26" s="24">
        <f>'Aneksi 2'!G685</f>
        <v>49805</v>
      </c>
      <c r="H26" s="24">
        <f>'Aneksi 2'!H685</f>
        <v>44871</v>
      </c>
      <c r="I26" s="24">
        <f>'Aneksi 2'!I685</f>
        <v>-4934</v>
      </c>
      <c r="J26" s="29"/>
      <c r="K26" s="29"/>
    </row>
    <row r="27" spans="1:17" x14ac:dyDescent="0.25">
      <c r="A27" s="112">
        <v>9230</v>
      </c>
      <c r="B27" s="111" t="s">
        <v>109</v>
      </c>
      <c r="C27" s="24">
        <f>'Aneksi 2'!C725</f>
        <v>19920</v>
      </c>
      <c r="D27" s="24">
        <f>'Aneksi 2'!D725</f>
        <v>24785</v>
      </c>
      <c r="E27" s="24">
        <f>'Aneksi 2'!E725</f>
        <v>24785</v>
      </c>
      <c r="F27" s="24">
        <f>'Aneksi 2'!F725</f>
        <v>25638</v>
      </c>
      <c r="G27" s="24">
        <f>'Aneksi 2'!G725</f>
        <v>25638</v>
      </c>
      <c r="H27" s="24">
        <f>'Aneksi 2'!H725</f>
        <v>20450</v>
      </c>
      <c r="I27" s="24">
        <f>'Aneksi 2'!I725</f>
        <v>-5188</v>
      </c>
      <c r="J27" s="29"/>
      <c r="K27" s="29"/>
    </row>
    <row r="28" spans="1:17" ht="22.5" x14ac:dyDescent="0.25">
      <c r="A28" s="112">
        <v>10140</v>
      </c>
      <c r="B28" s="111" t="s">
        <v>67</v>
      </c>
      <c r="C28" s="24">
        <f>'Aneksi 2'!C766</f>
        <v>76823</v>
      </c>
      <c r="D28" s="24">
        <f>'Aneksi 2'!D766</f>
        <v>71685</v>
      </c>
      <c r="E28" s="24">
        <f>'Aneksi 2'!E766</f>
        <v>71685</v>
      </c>
      <c r="F28" s="24">
        <f>'Aneksi 2'!F766</f>
        <v>71147</v>
      </c>
      <c r="G28" s="24">
        <f>'Aneksi 2'!G766</f>
        <v>71147</v>
      </c>
      <c r="H28" s="24">
        <f>'Aneksi 2'!H766</f>
        <v>70656</v>
      </c>
      <c r="I28" s="24">
        <f>'Aneksi 2'!I766</f>
        <v>-491</v>
      </c>
      <c r="J28" s="29"/>
      <c r="K28" s="29"/>
    </row>
    <row r="29" spans="1:17" x14ac:dyDescent="0.25">
      <c r="A29" s="112">
        <v>10661</v>
      </c>
      <c r="B29" s="111" t="s">
        <v>110</v>
      </c>
      <c r="C29" s="24">
        <f>'Aneksi 2'!C807</f>
        <v>1277</v>
      </c>
      <c r="D29" s="24">
        <f>'Aneksi 2'!D807</f>
        <v>5010</v>
      </c>
      <c r="E29" s="24">
        <f>'Aneksi 2'!E807</f>
        <v>5010</v>
      </c>
      <c r="F29" s="24">
        <f>'Aneksi 2'!F807</f>
        <v>5010</v>
      </c>
      <c r="G29" s="24">
        <f>'Aneksi 2'!G807</f>
        <v>5010</v>
      </c>
      <c r="H29" s="24">
        <f>'Aneksi 2'!H807</f>
        <v>4646</v>
      </c>
      <c r="I29" s="24">
        <f>'Aneksi 2'!I807</f>
        <v>-364</v>
      </c>
      <c r="J29" s="29"/>
      <c r="K29" s="29"/>
    </row>
    <row r="30" spans="1:17" x14ac:dyDescent="0.25">
      <c r="A30" s="112">
        <v>1620</v>
      </c>
      <c r="B30" s="111" t="s">
        <v>111</v>
      </c>
      <c r="C30" s="24">
        <f>'Aneksi 2'!C849</f>
        <v>0</v>
      </c>
      <c r="D30" s="24">
        <f>'Aneksi 2'!D849</f>
        <v>0</v>
      </c>
      <c r="E30" s="24">
        <f>'Aneksi 2'!E849</f>
        <v>0</v>
      </c>
      <c r="F30" s="24">
        <f>'Aneksi 2'!F849</f>
        <v>1223</v>
      </c>
      <c r="G30" s="24">
        <f>'Aneksi 2'!G849</f>
        <v>1223</v>
      </c>
      <c r="H30" s="24">
        <f>'Aneksi 2'!H849</f>
        <v>1122</v>
      </c>
      <c r="I30" s="24">
        <f>'Aneksi 2'!I849</f>
        <v>-101</v>
      </c>
      <c r="J30" s="29"/>
      <c r="K30" s="123"/>
      <c r="L30" s="123"/>
      <c r="M30" s="123"/>
      <c r="N30" s="123"/>
      <c r="O30" s="123"/>
      <c r="P30" s="123"/>
      <c r="Q30" s="123"/>
    </row>
    <row r="31" spans="1:17" x14ac:dyDescent="0.25">
      <c r="A31" s="112">
        <v>6210</v>
      </c>
      <c r="B31" s="111" t="s">
        <v>112</v>
      </c>
      <c r="C31" s="24">
        <f>'Aneksi 2'!C886</f>
        <v>7038</v>
      </c>
      <c r="D31" s="24">
        <f>'Aneksi 2'!D886</f>
        <v>0</v>
      </c>
      <c r="E31" s="24">
        <f>'Aneksi 2'!E886</f>
        <v>0</v>
      </c>
      <c r="F31" s="24">
        <f>'Aneksi 2'!F886</f>
        <v>1948</v>
      </c>
      <c r="G31" s="24">
        <f>'Aneksi 2'!G886</f>
        <v>1948</v>
      </c>
      <c r="H31" s="24">
        <f>'Aneksi 2'!H886</f>
        <v>1948</v>
      </c>
      <c r="I31" s="24">
        <f>'Aneksi 2'!I886</f>
        <v>0</v>
      </c>
      <c r="J31" s="29"/>
      <c r="K31" s="123"/>
      <c r="L31" s="123"/>
      <c r="M31" s="123"/>
      <c r="N31" s="123"/>
      <c r="O31" s="123"/>
      <c r="P31" s="123"/>
      <c r="Q31" s="123"/>
    </row>
    <row r="32" spans="1:17" x14ac:dyDescent="0.25">
      <c r="A32" s="112">
        <v>10430</v>
      </c>
      <c r="B32" s="118" t="s">
        <v>113</v>
      </c>
      <c r="C32" s="24">
        <f>'Aneksi 2'!C929</f>
        <v>40023</v>
      </c>
      <c r="D32" s="24">
        <f>'Aneksi 2'!D929</f>
        <v>40732</v>
      </c>
      <c r="E32" s="24">
        <f>'Aneksi 2'!E929</f>
        <v>40732</v>
      </c>
      <c r="F32" s="24">
        <f>'Aneksi 2'!F929</f>
        <v>50743</v>
      </c>
      <c r="G32" s="24">
        <f>'Aneksi 2'!G929</f>
        <v>50743</v>
      </c>
      <c r="H32" s="24">
        <f>'Aneksi 2'!H929</f>
        <v>47220</v>
      </c>
      <c r="I32" s="24">
        <f>'Aneksi 2'!I929</f>
        <v>-2836</v>
      </c>
      <c r="J32" s="117"/>
      <c r="K32" s="124"/>
      <c r="L32" s="123"/>
      <c r="M32" s="123"/>
      <c r="N32" s="123"/>
      <c r="O32" s="123"/>
      <c r="P32" s="123"/>
      <c r="Q32" s="123"/>
    </row>
    <row r="33" spans="1:17" s="122" customFormat="1" x14ac:dyDescent="0.25">
      <c r="A33" s="119">
        <v>3600</v>
      </c>
      <c r="B33" s="120" t="s">
        <v>114</v>
      </c>
      <c r="C33" s="121">
        <f>'Aneksi 2'!C971</f>
        <v>691</v>
      </c>
      <c r="D33" s="121">
        <f>'Aneksi 2'!D971</f>
        <v>0</v>
      </c>
      <c r="E33" s="121">
        <f>'Aneksi 2'!E971</f>
        <v>0</v>
      </c>
      <c r="F33" s="121">
        <f>'Aneksi 2'!F971</f>
        <v>0</v>
      </c>
      <c r="G33" s="121">
        <f>'Aneksi 2'!G971</f>
        <v>0</v>
      </c>
      <c r="H33" s="121">
        <f>'Aneksi 2'!H971</f>
        <v>0</v>
      </c>
      <c r="I33" s="121">
        <f>'Aneksi 2'!I971</f>
        <v>0</v>
      </c>
      <c r="J33" s="200"/>
      <c r="K33" s="124"/>
      <c r="L33" s="123"/>
      <c r="M33" s="123"/>
      <c r="N33" s="123"/>
      <c r="O33" s="123"/>
      <c r="P33" s="123"/>
      <c r="Q33" s="123"/>
    </row>
    <row r="34" spans="1:17" s="122" customFormat="1" x14ac:dyDescent="0.25">
      <c r="A34" s="119" t="s">
        <v>286</v>
      </c>
      <c r="B34" s="120" t="s">
        <v>287</v>
      </c>
      <c r="C34" s="121">
        <f>'Aneksi 2'!C1010</f>
        <v>0</v>
      </c>
      <c r="D34" s="121">
        <f>'Aneksi 2'!D1010</f>
        <v>2647</v>
      </c>
      <c r="E34" s="121">
        <f>'Aneksi 2'!E1010</f>
        <v>2647</v>
      </c>
      <c r="F34" s="121">
        <f>'Aneksi 2'!F1010</f>
        <v>2647</v>
      </c>
      <c r="G34" s="121">
        <f>'Aneksi 2'!G1010</f>
        <v>2647</v>
      </c>
      <c r="H34" s="121">
        <f>'Aneksi 2'!H1010</f>
        <v>0</v>
      </c>
      <c r="I34" s="121">
        <f>'Aneksi 2'!I1010</f>
        <v>-2647</v>
      </c>
      <c r="J34" s="201"/>
      <c r="K34" s="201"/>
      <c r="L34" s="123"/>
      <c r="M34" s="123"/>
      <c r="N34" s="123"/>
      <c r="O34" s="123"/>
      <c r="P34" s="123"/>
      <c r="Q34" s="123"/>
    </row>
    <row r="35" spans="1:17" s="122" customFormat="1" ht="15.75" thickBot="1" x14ac:dyDescent="0.3">
      <c r="A35" s="119" t="s">
        <v>288</v>
      </c>
      <c r="B35" s="120" t="s">
        <v>289</v>
      </c>
      <c r="C35" s="121">
        <f>'Aneksi 2'!C1050</f>
        <v>1995</v>
      </c>
      <c r="D35" s="121">
        <f>'Aneksi 2'!D1050</f>
        <v>0</v>
      </c>
      <c r="E35" s="121">
        <f>'Aneksi 2'!E1050</f>
        <v>0</v>
      </c>
      <c r="F35" s="121">
        <f>'Aneksi 2'!F1050</f>
        <v>0</v>
      </c>
      <c r="G35" s="121">
        <f>'Aneksi 2'!G1050</f>
        <v>0</v>
      </c>
      <c r="H35" s="121">
        <f>'Aneksi 2'!H1050</f>
        <v>0</v>
      </c>
      <c r="I35" s="121">
        <f>'Aneksi 2'!I1050</f>
        <v>0</v>
      </c>
      <c r="J35" s="201"/>
      <c r="K35" s="124"/>
      <c r="L35" s="123"/>
      <c r="M35" s="123"/>
      <c r="N35" s="123"/>
      <c r="O35" s="123"/>
      <c r="P35" s="123"/>
      <c r="Q35" s="123"/>
    </row>
    <row r="36" spans="1:17" ht="15.75" thickBot="1" x14ac:dyDescent="0.3">
      <c r="A36" s="227" t="s">
        <v>23</v>
      </c>
      <c r="B36" s="228"/>
      <c r="C36" s="26">
        <f t="shared" ref="C36:H36" si="0">SUM(C10:C35)</f>
        <v>394931</v>
      </c>
      <c r="D36" s="26">
        <f t="shared" si="0"/>
        <v>410828</v>
      </c>
      <c r="E36" s="26">
        <f t="shared" si="0"/>
        <v>406388</v>
      </c>
      <c r="F36" s="26">
        <f t="shared" si="0"/>
        <v>574915</v>
      </c>
      <c r="G36" s="26">
        <f t="shared" si="0"/>
        <v>574915</v>
      </c>
      <c r="H36" s="26">
        <f t="shared" si="0"/>
        <v>523276</v>
      </c>
      <c r="I36" s="105">
        <f t="shared" ref="I36" si="1">SUM(H36-G36)</f>
        <v>-51639</v>
      </c>
      <c r="J36" s="117"/>
      <c r="K36" s="117"/>
    </row>
    <row r="37" spans="1:17" ht="15.75" thickBot="1" x14ac:dyDescent="0.3">
      <c r="A37" s="229" t="s">
        <v>37</v>
      </c>
      <c r="B37" s="230"/>
      <c r="C37" s="27">
        <f>C36</f>
        <v>394931</v>
      </c>
      <c r="D37" s="27">
        <f t="shared" ref="D37:I37" si="2">D36</f>
        <v>410828</v>
      </c>
      <c r="E37" s="27">
        <f t="shared" si="2"/>
        <v>406388</v>
      </c>
      <c r="F37" s="27">
        <f t="shared" si="2"/>
        <v>574915</v>
      </c>
      <c r="G37" s="27">
        <f t="shared" si="2"/>
        <v>574915</v>
      </c>
      <c r="H37" s="27">
        <f t="shared" si="2"/>
        <v>523276</v>
      </c>
      <c r="I37" s="27">
        <f t="shared" si="2"/>
        <v>-51639</v>
      </c>
      <c r="J37" s="117"/>
      <c r="K37" s="117"/>
    </row>
    <row r="38" spans="1:17" x14ac:dyDescent="0.25">
      <c r="A38" s="106"/>
      <c r="B38" s="231" t="s">
        <v>19</v>
      </c>
      <c r="C38" s="232"/>
      <c r="D38" s="25" t="s">
        <v>20</v>
      </c>
      <c r="E38" s="237" t="s">
        <v>283</v>
      </c>
      <c r="F38" s="238"/>
      <c r="G38" s="4"/>
      <c r="H38" s="4"/>
      <c r="I38" s="4"/>
      <c r="J38" s="117"/>
      <c r="K38" s="117"/>
    </row>
    <row r="39" spans="1:17" x14ac:dyDescent="0.25">
      <c r="A39" s="106"/>
      <c r="B39" s="233"/>
      <c r="C39" s="234"/>
      <c r="D39" s="25" t="s">
        <v>21</v>
      </c>
      <c r="E39" s="237"/>
      <c r="F39" s="238"/>
      <c r="G39" s="4"/>
      <c r="H39" s="4"/>
      <c r="I39" s="4"/>
      <c r="J39" s="29"/>
      <c r="K39" s="29"/>
    </row>
    <row r="40" spans="1:17" x14ac:dyDescent="0.25">
      <c r="A40" s="106"/>
      <c r="B40" s="235"/>
      <c r="C40" s="236"/>
      <c r="D40" s="25" t="s">
        <v>22</v>
      </c>
      <c r="E40" s="237" t="s">
        <v>295</v>
      </c>
      <c r="F40" s="238"/>
      <c r="G40" s="4"/>
      <c r="H40" s="4"/>
      <c r="I40" s="4"/>
      <c r="J40" s="29"/>
      <c r="K40" s="29"/>
    </row>
  </sheetData>
  <mergeCells count="11">
    <mergeCell ref="A36:B36"/>
    <mergeCell ref="A37:B37"/>
    <mergeCell ref="B38:C40"/>
    <mergeCell ref="E38:F38"/>
    <mergeCell ref="E39:F39"/>
    <mergeCell ref="E40:F40"/>
    <mergeCell ref="I8:I9"/>
    <mergeCell ref="B4:F4"/>
    <mergeCell ref="H4:I4"/>
    <mergeCell ref="A6:B8"/>
    <mergeCell ref="C6:I6"/>
  </mergeCells>
  <pageMargins left="0.2" right="0.2" top="0.25" bottom="0.2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72"/>
  <sheetViews>
    <sheetView zoomScale="85" zoomScaleNormal="85" workbookViewId="0">
      <selection activeCell="F8" sqref="F8"/>
    </sheetView>
  </sheetViews>
  <sheetFormatPr defaultRowHeight="12.75" x14ac:dyDescent="0.2"/>
  <cols>
    <col min="1" max="1" width="9.28515625" style="135" bestFit="1" customWidth="1"/>
    <col min="2" max="2" width="32.85546875" style="135" customWidth="1"/>
    <col min="3" max="8" width="12.7109375" style="135" customWidth="1"/>
    <col min="9" max="9" width="14.140625" style="135" customWidth="1"/>
    <col min="10" max="10" width="9.140625" style="135"/>
    <col min="11" max="11" width="12.5703125" style="135" customWidth="1"/>
    <col min="12" max="13" width="9.28515625" style="135" bestFit="1" customWidth="1"/>
    <col min="14" max="16384" width="9.140625" style="135"/>
  </cols>
  <sheetData>
    <row r="1" spans="1:13" x14ac:dyDescent="0.2">
      <c r="A1" s="134" t="s">
        <v>24</v>
      </c>
      <c r="B1" s="134"/>
      <c r="C1" s="134"/>
    </row>
    <row r="3" spans="1:13" ht="15.75" customHeight="1" thickBot="1" x14ac:dyDescent="0.25">
      <c r="A3" s="136"/>
      <c r="B3" s="137"/>
      <c r="C3" s="138"/>
      <c r="D3" s="138"/>
      <c r="E3" s="138"/>
      <c r="F3" s="138"/>
      <c r="G3" s="138"/>
      <c r="H3" s="138"/>
      <c r="I3" s="130" t="s">
        <v>68</v>
      </c>
    </row>
    <row r="4" spans="1:13" ht="51" customHeight="1" thickBot="1" x14ac:dyDescent="0.25">
      <c r="A4" s="139" t="s">
        <v>25</v>
      </c>
      <c r="B4" s="174" t="s">
        <v>115</v>
      </c>
      <c r="C4" s="252"/>
      <c r="D4" s="247"/>
      <c r="E4" s="247"/>
      <c r="F4" s="247"/>
      <c r="G4" s="253"/>
      <c r="H4" s="176" t="s">
        <v>26</v>
      </c>
      <c r="I4" s="142">
        <v>2137001</v>
      </c>
    </row>
    <row r="5" spans="1:13" ht="35.25" customHeight="1" thickBot="1" x14ac:dyDescent="0.25">
      <c r="A5" s="127" t="s">
        <v>28</v>
      </c>
      <c r="B5" s="175" t="s">
        <v>18</v>
      </c>
      <c r="C5" s="254"/>
      <c r="D5" s="255"/>
      <c r="E5" s="255"/>
      <c r="F5" s="255"/>
      <c r="G5" s="256"/>
      <c r="H5" s="176" t="s">
        <v>69</v>
      </c>
      <c r="I5" s="144">
        <v>1110</v>
      </c>
    </row>
    <row r="6" spans="1:13" ht="20.100000000000001" customHeight="1" thickBot="1" x14ac:dyDescent="0.25">
      <c r="A6" s="131" t="s">
        <v>30</v>
      </c>
      <c r="B6" s="257" t="s">
        <v>17</v>
      </c>
      <c r="C6" s="177">
        <v>-1</v>
      </c>
      <c r="D6" s="177">
        <v>-2</v>
      </c>
      <c r="E6" s="177">
        <v>-3</v>
      </c>
      <c r="F6" s="178">
        <v>-4</v>
      </c>
      <c r="G6" s="178">
        <v>-5</v>
      </c>
      <c r="H6" s="146">
        <v>-6</v>
      </c>
      <c r="I6" s="147" t="s">
        <v>11</v>
      </c>
    </row>
    <row r="7" spans="1:13" ht="24.95" customHeight="1" x14ac:dyDescent="0.2">
      <c r="A7" s="132"/>
      <c r="B7" s="258"/>
      <c r="C7" s="148" t="s">
        <v>12</v>
      </c>
      <c r="D7" s="148" t="s">
        <v>13</v>
      </c>
      <c r="E7" s="148" t="s">
        <v>14</v>
      </c>
      <c r="F7" s="148" t="s">
        <v>14</v>
      </c>
      <c r="G7" s="148" t="s">
        <v>14</v>
      </c>
      <c r="H7" s="148" t="s">
        <v>31</v>
      </c>
      <c r="I7" s="149" t="s">
        <v>15</v>
      </c>
    </row>
    <row r="8" spans="1:13" ht="33.75" customHeight="1" x14ac:dyDescent="0.2">
      <c r="A8" s="132"/>
      <c r="B8" s="259"/>
      <c r="C8" s="128" t="s">
        <v>292</v>
      </c>
      <c r="D8" s="128" t="s">
        <v>293</v>
      </c>
      <c r="E8" s="128" t="s">
        <v>294</v>
      </c>
      <c r="F8" s="128" t="s">
        <v>301</v>
      </c>
      <c r="G8" s="150" t="s">
        <v>32</v>
      </c>
      <c r="H8" s="128" t="s">
        <v>33</v>
      </c>
      <c r="I8" s="149"/>
    </row>
    <row r="9" spans="1:13" ht="24.95" customHeight="1" thickBot="1" x14ac:dyDescent="0.25">
      <c r="A9" s="133"/>
      <c r="B9" s="260"/>
      <c r="C9" s="129"/>
      <c r="D9" s="30"/>
      <c r="E9" s="30"/>
      <c r="F9" s="30"/>
      <c r="G9" s="151"/>
      <c r="H9" s="129" t="s">
        <v>34</v>
      </c>
      <c r="I9" s="149"/>
    </row>
    <row r="10" spans="1:13" ht="15" customHeight="1" thickBot="1" x14ac:dyDescent="0.25">
      <c r="A10" s="152">
        <v>600</v>
      </c>
      <c r="B10" s="153" t="s">
        <v>117</v>
      </c>
      <c r="C10" s="142">
        <f>31318+1426</f>
        <v>32744</v>
      </c>
      <c r="D10" s="142">
        <v>39205</v>
      </c>
      <c r="E10" s="142">
        <v>39205</v>
      </c>
      <c r="F10" s="142">
        <f>33485+3156</f>
        <v>36641</v>
      </c>
      <c r="G10" s="142">
        <f>33485+3156</f>
        <v>36641</v>
      </c>
      <c r="H10" s="142">
        <f>33485+2380</f>
        <v>35865</v>
      </c>
      <c r="I10" s="154">
        <f t="shared" ref="I10:I23" si="0">SUM(H10-G10)</f>
        <v>-776</v>
      </c>
      <c r="K10" s="155"/>
      <c r="L10" s="155"/>
      <c r="M10" s="155"/>
    </row>
    <row r="11" spans="1:13" ht="15" customHeight="1" thickBot="1" x14ac:dyDescent="0.25">
      <c r="A11" s="152">
        <v>601</v>
      </c>
      <c r="B11" s="153" t="s">
        <v>118</v>
      </c>
      <c r="C11" s="142">
        <f>5517+32</f>
        <v>5549</v>
      </c>
      <c r="D11" s="142">
        <v>6920</v>
      </c>
      <c r="E11" s="142">
        <v>6920</v>
      </c>
      <c r="F11" s="142">
        <f>6519</f>
        <v>6519</v>
      </c>
      <c r="G11" s="142">
        <f>6519</f>
        <v>6519</v>
      </c>
      <c r="H11" s="142">
        <v>6380</v>
      </c>
      <c r="I11" s="154">
        <f t="shared" si="0"/>
        <v>-139</v>
      </c>
      <c r="K11" s="155"/>
      <c r="L11" s="155"/>
      <c r="M11" s="155"/>
    </row>
    <row r="12" spans="1:13" ht="15" customHeight="1" thickBot="1" x14ac:dyDescent="0.25">
      <c r="A12" s="152">
        <v>602</v>
      </c>
      <c r="B12" s="153" t="s">
        <v>119</v>
      </c>
      <c r="C12" s="142">
        <f>8542+976</f>
        <v>9518</v>
      </c>
      <c r="D12" s="142">
        <v>11471</v>
      </c>
      <c r="E12" s="142">
        <v>11471</v>
      </c>
      <c r="F12" s="142">
        <f>8933+2538</f>
        <v>11471</v>
      </c>
      <c r="G12" s="142">
        <f>8933+2538</f>
        <v>11471</v>
      </c>
      <c r="H12" s="142">
        <f>8933+2044</f>
        <v>10977</v>
      </c>
      <c r="I12" s="154">
        <f t="shared" si="0"/>
        <v>-494</v>
      </c>
      <c r="K12" s="155"/>
      <c r="L12" s="155"/>
      <c r="M12" s="155"/>
    </row>
    <row r="13" spans="1:13" ht="15" customHeight="1" thickBot="1" x14ac:dyDescent="0.25">
      <c r="A13" s="152">
        <v>603</v>
      </c>
      <c r="B13" s="153" t="s">
        <v>120</v>
      </c>
      <c r="C13" s="142">
        <v>0</v>
      </c>
      <c r="D13" s="142">
        <v>0</v>
      </c>
      <c r="E13" s="142">
        <v>0</v>
      </c>
      <c r="F13" s="142"/>
      <c r="G13" s="142"/>
      <c r="H13" s="142"/>
      <c r="I13" s="154">
        <f t="shared" si="0"/>
        <v>0</v>
      </c>
      <c r="K13" s="155"/>
      <c r="L13" s="155"/>
      <c r="M13" s="155"/>
    </row>
    <row r="14" spans="1:13" ht="15" customHeight="1" thickBot="1" x14ac:dyDescent="0.25">
      <c r="A14" s="152">
        <v>604</v>
      </c>
      <c r="B14" s="153" t="s">
        <v>121</v>
      </c>
      <c r="C14" s="142">
        <v>43</v>
      </c>
      <c r="D14" s="142">
        <v>100</v>
      </c>
      <c r="E14" s="142">
        <v>100</v>
      </c>
      <c r="F14" s="142">
        <v>100</v>
      </c>
      <c r="G14" s="142">
        <v>100</v>
      </c>
      <c r="H14" s="142">
        <v>42</v>
      </c>
      <c r="I14" s="154">
        <f t="shared" si="0"/>
        <v>-58</v>
      </c>
      <c r="K14" s="155"/>
      <c r="L14" s="155"/>
      <c r="M14" s="155"/>
    </row>
    <row r="15" spans="1:13" ht="15" customHeight="1" thickBot="1" x14ac:dyDescent="0.25">
      <c r="A15" s="152">
        <v>605</v>
      </c>
      <c r="B15" s="153" t="s">
        <v>122</v>
      </c>
      <c r="C15" s="142">
        <v>0</v>
      </c>
      <c r="D15" s="142">
        <v>0</v>
      </c>
      <c r="E15" s="142">
        <v>0</v>
      </c>
      <c r="F15" s="142"/>
      <c r="G15" s="142"/>
      <c r="H15" s="142"/>
      <c r="I15" s="154">
        <f t="shared" si="0"/>
        <v>0</v>
      </c>
      <c r="K15" s="155"/>
      <c r="L15" s="155"/>
      <c r="M15" s="155"/>
    </row>
    <row r="16" spans="1:13" ht="15" customHeight="1" thickBot="1" x14ac:dyDescent="0.25">
      <c r="A16" s="152">
        <v>606</v>
      </c>
      <c r="B16" s="153" t="s">
        <v>70</v>
      </c>
      <c r="C16" s="142">
        <v>30</v>
      </c>
      <c r="D16" s="142">
        <v>100</v>
      </c>
      <c r="E16" s="142">
        <v>100</v>
      </c>
      <c r="F16" s="142">
        <v>200</v>
      </c>
      <c r="G16" s="142">
        <v>200</v>
      </c>
      <c r="H16" s="142">
        <v>154</v>
      </c>
      <c r="I16" s="154">
        <f t="shared" si="0"/>
        <v>-46</v>
      </c>
      <c r="K16" s="155"/>
      <c r="L16" s="155"/>
      <c r="M16" s="155"/>
    </row>
    <row r="17" spans="1:13" ht="15" customHeight="1" thickBot="1" x14ac:dyDescent="0.25">
      <c r="A17" s="152">
        <v>609</v>
      </c>
      <c r="B17" s="153" t="s">
        <v>123</v>
      </c>
      <c r="C17" s="142">
        <v>0</v>
      </c>
      <c r="D17" s="142">
        <v>0</v>
      </c>
      <c r="E17" s="142">
        <v>0</v>
      </c>
      <c r="F17" s="142"/>
      <c r="G17" s="142"/>
      <c r="H17" s="142"/>
      <c r="I17" s="154">
        <f t="shared" si="0"/>
        <v>0</v>
      </c>
      <c r="K17" s="155"/>
      <c r="L17" s="155"/>
      <c r="M17" s="155"/>
    </row>
    <row r="18" spans="1:13" ht="15" customHeight="1" thickBot="1" x14ac:dyDescent="0.25">
      <c r="A18" s="152">
        <v>650</v>
      </c>
      <c r="B18" s="153" t="s">
        <v>124</v>
      </c>
      <c r="C18" s="142">
        <v>0</v>
      </c>
      <c r="D18" s="142">
        <v>0</v>
      </c>
      <c r="E18" s="142">
        <v>0</v>
      </c>
      <c r="F18" s="142"/>
      <c r="G18" s="142"/>
      <c r="H18" s="142"/>
      <c r="I18" s="154">
        <f t="shared" si="0"/>
        <v>0</v>
      </c>
      <c r="K18" s="155"/>
      <c r="L18" s="155"/>
      <c r="M18" s="155"/>
    </row>
    <row r="19" spans="1:13" ht="15" customHeight="1" thickBot="1" x14ac:dyDescent="0.25">
      <c r="A19" s="152" t="s">
        <v>71</v>
      </c>
      <c r="B19" s="153" t="s">
        <v>72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54">
        <f t="shared" si="0"/>
        <v>0</v>
      </c>
      <c r="K19" s="155"/>
      <c r="L19" s="155"/>
      <c r="M19" s="155"/>
    </row>
    <row r="20" spans="1:13" ht="26.25" thickBot="1" x14ac:dyDescent="0.25">
      <c r="A20" s="156" t="s">
        <v>35</v>
      </c>
      <c r="B20" s="157" t="s">
        <v>73</v>
      </c>
      <c r="C20" s="158">
        <f t="shared" ref="C20:H20" si="1">SUM(C10:C19)</f>
        <v>47884</v>
      </c>
      <c r="D20" s="158">
        <f t="shared" si="1"/>
        <v>57796</v>
      </c>
      <c r="E20" s="158">
        <f t="shared" si="1"/>
        <v>57796</v>
      </c>
      <c r="F20" s="158">
        <f t="shared" si="1"/>
        <v>54931</v>
      </c>
      <c r="G20" s="158">
        <f t="shared" si="1"/>
        <v>54931</v>
      </c>
      <c r="H20" s="158">
        <f t="shared" si="1"/>
        <v>53418</v>
      </c>
      <c r="I20" s="154">
        <f t="shared" si="0"/>
        <v>-1513</v>
      </c>
      <c r="K20" s="250"/>
      <c r="L20" s="251"/>
      <c r="M20" s="155"/>
    </row>
    <row r="21" spans="1:13" ht="15" customHeight="1" thickBot="1" x14ac:dyDescent="0.25">
      <c r="A21" s="152">
        <v>230</v>
      </c>
      <c r="B21" s="152" t="s">
        <v>74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54">
        <f t="shared" si="0"/>
        <v>0</v>
      </c>
      <c r="K21" s="155"/>
      <c r="L21" s="155"/>
      <c r="M21" s="155"/>
    </row>
    <row r="22" spans="1:13" ht="15" customHeight="1" thickBot="1" x14ac:dyDescent="0.25">
      <c r="A22" s="152">
        <v>231</v>
      </c>
      <c r="B22" s="152" t="s">
        <v>125</v>
      </c>
      <c r="C22" s="142">
        <f>418+380</f>
        <v>798</v>
      </c>
      <c r="D22" s="159">
        <f>600+5582</f>
        <v>6182</v>
      </c>
      <c r="E22" s="159">
        <f t="shared" ref="E22" si="2">600+5582</f>
        <v>6182</v>
      </c>
      <c r="F22" s="142">
        <f>5294+600</f>
        <v>5894</v>
      </c>
      <c r="G22" s="142">
        <f>5294+600</f>
        <v>5894</v>
      </c>
      <c r="H22" s="142">
        <f>4077+490</f>
        <v>4567</v>
      </c>
      <c r="I22" s="154">
        <f t="shared" si="0"/>
        <v>-1327</v>
      </c>
      <c r="K22" s="155"/>
      <c r="L22" s="155"/>
      <c r="M22" s="155"/>
    </row>
    <row r="23" spans="1:13" ht="15" customHeight="1" thickBot="1" x14ac:dyDescent="0.25">
      <c r="A23" s="152">
        <v>232</v>
      </c>
      <c r="B23" s="152" t="s">
        <v>75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54">
        <f t="shared" si="0"/>
        <v>0</v>
      </c>
      <c r="K23" s="155"/>
      <c r="L23" s="155"/>
      <c r="M23" s="155"/>
    </row>
    <row r="24" spans="1:13" ht="21" customHeight="1" thickBot="1" x14ac:dyDescent="0.25">
      <c r="A24" s="156" t="s">
        <v>35</v>
      </c>
      <c r="B24" s="157" t="s">
        <v>76</v>
      </c>
      <c r="C24" s="158">
        <f t="shared" ref="C24:H24" si="3">SUM(C21:C23)</f>
        <v>798</v>
      </c>
      <c r="D24" s="158">
        <f t="shared" si="3"/>
        <v>6182</v>
      </c>
      <c r="E24" s="158">
        <f t="shared" si="3"/>
        <v>6182</v>
      </c>
      <c r="F24" s="158">
        <f t="shared" si="3"/>
        <v>5894</v>
      </c>
      <c r="G24" s="158">
        <f t="shared" si="3"/>
        <v>5894</v>
      </c>
      <c r="H24" s="158">
        <f t="shared" si="3"/>
        <v>4567</v>
      </c>
      <c r="I24" s="154">
        <f>SUM(H21-G23)</f>
        <v>0</v>
      </c>
      <c r="K24" s="155"/>
      <c r="L24" s="155"/>
      <c r="M24" s="155"/>
    </row>
    <row r="25" spans="1:13" ht="15" customHeight="1" thickBot="1" x14ac:dyDescent="0.25">
      <c r="A25" s="152">
        <v>230</v>
      </c>
      <c r="B25" s="152" t="s">
        <v>74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54">
        <f>SUM(H25-G25)</f>
        <v>0</v>
      </c>
      <c r="K25" s="155"/>
      <c r="L25" s="155"/>
      <c r="M25" s="155"/>
    </row>
    <row r="26" spans="1:13" ht="15" customHeight="1" thickBot="1" x14ac:dyDescent="0.25">
      <c r="A26" s="152">
        <v>231</v>
      </c>
      <c r="B26" s="152" t="s">
        <v>125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54">
        <f>SUM(H26-G26)</f>
        <v>0</v>
      </c>
      <c r="K26" s="155"/>
      <c r="L26" s="155"/>
      <c r="M26" s="155"/>
    </row>
    <row r="27" spans="1:13" ht="15" customHeight="1" thickBot="1" x14ac:dyDescent="0.25">
      <c r="A27" s="152">
        <v>232</v>
      </c>
      <c r="B27" s="152" t="s">
        <v>75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54">
        <f>SUM(H27-G27)</f>
        <v>0</v>
      </c>
      <c r="K27" s="155"/>
      <c r="L27" s="155"/>
      <c r="M27" s="155"/>
    </row>
    <row r="28" spans="1:13" ht="20.45" customHeight="1" thickBot="1" x14ac:dyDescent="0.25">
      <c r="A28" s="156" t="s">
        <v>35</v>
      </c>
      <c r="B28" s="157" t="s">
        <v>36</v>
      </c>
      <c r="C28" s="158">
        <f t="shared" ref="C28:H28" si="4">SUM(C25:C27)</f>
        <v>0</v>
      </c>
      <c r="D28" s="158">
        <f t="shared" si="4"/>
        <v>0</v>
      </c>
      <c r="E28" s="158">
        <f t="shared" si="4"/>
        <v>0</v>
      </c>
      <c r="F28" s="158">
        <f t="shared" si="4"/>
        <v>0</v>
      </c>
      <c r="G28" s="158">
        <f t="shared" si="4"/>
        <v>0</v>
      </c>
      <c r="H28" s="158">
        <f t="shared" si="4"/>
        <v>0</v>
      </c>
      <c r="I28" s="154">
        <f>SUM(H25-G27)</f>
        <v>0</v>
      </c>
    </row>
    <row r="29" spans="1:13" ht="13.5" thickBot="1" x14ac:dyDescent="0.25">
      <c r="A29" s="156" t="s">
        <v>37</v>
      </c>
      <c r="B29" s="160" t="s">
        <v>38</v>
      </c>
      <c r="C29" s="161">
        <f t="shared" ref="C29:H29" si="5">C24</f>
        <v>798</v>
      </c>
      <c r="D29" s="161">
        <f t="shared" si="5"/>
        <v>6182</v>
      </c>
      <c r="E29" s="161">
        <f t="shared" si="5"/>
        <v>6182</v>
      </c>
      <c r="F29" s="161">
        <f t="shared" si="5"/>
        <v>5894</v>
      </c>
      <c r="G29" s="161">
        <f t="shared" si="5"/>
        <v>5894</v>
      </c>
      <c r="H29" s="161">
        <f t="shared" si="5"/>
        <v>4567</v>
      </c>
      <c r="I29" s="154">
        <f>SUM(H29-G29)</f>
        <v>-1327</v>
      </c>
    </row>
    <row r="30" spans="1:13" ht="13.5" thickBot="1" x14ac:dyDescent="0.25">
      <c r="A30" s="245" t="s">
        <v>77</v>
      </c>
      <c r="B30" s="246"/>
      <c r="C30" s="162">
        <f t="shared" ref="C30:H30" si="6">C20+C24</f>
        <v>48682</v>
      </c>
      <c r="D30" s="162">
        <f t="shared" si="6"/>
        <v>63978</v>
      </c>
      <c r="E30" s="162">
        <f t="shared" si="6"/>
        <v>63978</v>
      </c>
      <c r="F30" s="162">
        <f t="shared" si="6"/>
        <v>60825</v>
      </c>
      <c r="G30" s="162">
        <f t="shared" si="6"/>
        <v>60825</v>
      </c>
      <c r="H30" s="162">
        <f t="shared" si="6"/>
        <v>57985</v>
      </c>
      <c r="I30" s="163">
        <f>SUM(H30-G30)</f>
        <v>-2840</v>
      </c>
    </row>
    <row r="32" spans="1:13" ht="19.149999999999999" customHeight="1" x14ac:dyDescent="0.2">
      <c r="A32" s="244" t="s">
        <v>66</v>
      </c>
      <c r="B32" s="164" t="s">
        <v>20</v>
      </c>
      <c r="C32" s="165" t="s">
        <v>302</v>
      </c>
      <c r="D32" s="244" t="s">
        <v>19</v>
      </c>
      <c r="E32" s="166" t="s">
        <v>283</v>
      </c>
    </row>
    <row r="33" spans="1:9" ht="21" customHeight="1" x14ac:dyDescent="0.2">
      <c r="A33" s="244"/>
      <c r="B33" s="164" t="s">
        <v>21</v>
      </c>
      <c r="C33" s="165" t="s">
        <v>295</v>
      </c>
      <c r="D33" s="244"/>
      <c r="E33" s="166" t="s">
        <v>295</v>
      </c>
    </row>
    <row r="34" spans="1:9" ht="22.9" customHeight="1" x14ac:dyDescent="0.2">
      <c r="A34" s="244"/>
      <c r="B34" s="164" t="s">
        <v>22</v>
      </c>
      <c r="C34" s="165"/>
      <c r="D34" s="244"/>
      <c r="E34" s="166"/>
    </row>
    <row r="42" spans="1:9" ht="15.75" customHeight="1" thickBot="1" x14ac:dyDescent="0.25">
      <c r="A42" s="136"/>
      <c r="B42" s="137"/>
      <c r="C42" s="138"/>
      <c r="D42" s="138"/>
      <c r="E42" s="138"/>
      <c r="F42" s="138"/>
      <c r="G42" s="138"/>
      <c r="H42" s="138"/>
      <c r="I42" s="179" t="s">
        <v>68</v>
      </c>
    </row>
    <row r="43" spans="1:9" ht="15.75" customHeight="1" thickBot="1" x14ac:dyDescent="0.25">
      <c r="A43" s="139" t="s">
        <v>25</v>
      </c>
      <c r="B43" s="174" t="s">
        <v>115</v>
      </c>
      <c r="C43" s="252"/>
      <c r="D43" s="247"/>
      <c r="E43" s="247"/>
      <c r="F43" s="247"/>
      <c r="G43" s="247"/>
      <c r="H43" s="180" t="s">
        <v>26</v>
      </c>
      <c r="I43" s="181" t="s">
        <v>27</v>
      </c>
    </row>
    <row r="44" spans="1:9" ht="15.75" customHeight="1" thickBot="1" x14ac:dyDescent="0.25">
      <c r="A44" s="30" t="s">
        <v>28</v>
      </c>
      <c r="B44" s="175" t="s">
        <v>93</v>
      </c>
      <c r="C44" s="261"/>
      <c r="D44" s="248"/>
      <c r="E44" s="248"/>
      <c r="F44" s="248"/>
      <c r="G44" s="248"/>
      <c r="H44" s="141" t="s">
        <v>69</v>
      </c>
      <c r="I44" s="167">
        <v>1170</v>
      </c>
    </row>
    <row r="45" spans="1:9" ht="24.95" customHeight="1" thickBot="1" x14ac:dyDescent="0.25">
      <c r="A45" s="127" t="s">
        <v>30</v>
      </c>
      <c r="B45" s="240" t="s">
        <v>17</v>
      </c>
      <c r="C45" s="182">
        <v>-1</v>
      </c>
      <c r="D45" s="145">
        <v>-2</v>
      </c>
      <c r="E45" s="145">
        <v>-3</v>
      </c>
      <c r="F45" s="146">
        <v>-4</v>
      </c>
      <c r="G45" s="146">
        <v>-5</v>
      </c>
      <c r="H45" s="146">
        <v>-6</v>
      </c>
      <c r="I45" s="168" t="s">
        <v>11</v>
      </c>
    </row>
    <row r="46" spans="1:9" ht="24.95" customHeight="1" x14ac:dyDescent="0.2">
      <c r="A46" s="127"/>
      <c r="B46" s="242"/>
      <c r="C46" s="183" t="s">
        <v>12</v>
      </c>
      <c r="D46" s="148" t="s">
        <v>13</v>
      </c>
      <c r="E46" s="148" t="s">
        <v>14</v>
      </c>
      <c r="F46" s="148" t="s">
        <v>14</v>
      </c>
      <c r="G46" s="148" t="s">
        <v>14</v>
      </c>
      <c r="H46" s="148" t="s">
        <v>31</v>
      </c>
      <c r="I46" s="184" t="s">
        <v>15</v>
      </c>
    </row>
    <row r="47" spans="1:9" ht="24.95" customHeight="1" x14ac:dyDescent="0.2">
      <c r="A47" s="127"/>
      <c r="B47" s="242"/>
      <c r="C47" s="185" t="s">
        <v>292</v>
      </c>
      <c r="D47" s="128" t="s">
        <v>293</v>
      </c>
      <c r="E47" s="128" t="s">
        <v>294</v>
      </c>
      <c r="F47" s="128" t="s">
        <v>116</v>
      </c>
      <c r="G47" s="150" t="s">
        <v>32</v>
      </c>
      <c r="H47" s="128" t="s">
        <v>33</v>
      </c>
      <c r="I47" s="186"/>
    </row>
    <row r="48" spans="1:9" ht="24.95" customHeight="1" thickBot="1" x14ac:dyDescent="0.25">
      <c r="A48" s="30"/>
      <c r="B48" s="243"/>
      <c r="C48" s="187"/>
      <c r="D48" s="188"/>
      <c r="E48" s="188"/>
      <c r="F48" s="188"/>
      <c r="G48" s="189"/>
      <c r="H48" s="190" t="s">
        <v>34</v>
      </c>
      <c r="I48" s="191"/>
    </row>
    <row r="49" spans="1:9" ht="15" customHeight="1" thickBot="1" x14ac:dyDescent="0.25">
      <c r="A49" s="152">
        <v>600</v>
      </c>
      <c r="B49" s="153" t="s">
        <v>117</v>
      </c>
      <c r="C49" s="171">
        <v>1812</v>
      </c>
      <c r="D49" s="171">
        <v>2000</v>
      </c>
      <c r="E49" s="171">
        <v>2000</v>
      </c>
      <c r="F49" s="171">
        <v>2000</v>
      </c>
      <c r="G49" s="171">
        <v>2000</v>
      </c>
      <c r="H49" s="171">
        <v>2000</v>
      </c>
      <c r="I49" s="154">
        <f t="shared" ref="I49:I62" si="7">SUM(H49-G49)</f>
        <v>0</v>
      </c>
    </row>
    <row r="50" spans="1:9" ht="15" customHeight="1" thickBot="1" x14ac:dyDescent="0.25">
      <c r="A50" s="152">
        <v>601</v>
      </c>
      <c r="B50" s="153" t="s">
        <v>118</v>
      </c>
      <c r="C50" s="142">
        <v>303</v>
      </c>
      <c r="D50" s="142">
        <v>380</v>
      </c>
      <c r="E50" s="142">
        <v>380</v>
      </c>
      <c r="F50" s="142">
        <v>380</v>
      </c>
      <c r="G50" s="142">
        <v>380</v>
      </c>
      <c r="H50" s="142">
        <v>342</v>
      </c>
      <c r="I50" s="154">
        <f t="shared" si="7"/>
        <v>-38</v>
      </c>
    </row>
    <row r="51" spans="1:9" ht="15" customHeight="1" thickBot="1" x14ac:dyDescent="0.25">
      <c r="A51" s="152">
        <v>602</v>
      </c>
      <c r="B51" s="153" t="s">
        <v>119</v>
      </c>
      <c r="C51" s="142">
        <v>48</v>
      </c>
      <c r="D51" s="142"/>
      <c r="E51" s="142"/>
      <c r="F51" s="142"/>
      <c r="G51" s="142"/>
      <c r="H51" s="142"/>
      <c r="I51" s="154">
        <f t="shared" si="7"/>
        <v>0</v>
      </c>
    </row>
    <row r="52" spans="1:9" ht="15" customHeight="1" thickBot="1" x14ac:dyDescent="0.25">
      <c r="A52" s="152">
        <v>603</v>
      </c>
      <c r="B52" s="153" t="s">
        <v>120</v>
      </c>
      <c r="C52" s="142">
        <v>0</v>
      </c>
      <c r="D52" s="142"/>
      <c r="E52" s="142"/>
      <c r="F52" s="142"/>
      <c r="G52" s="142"/>
      <c r="H52" s="142"/>
      <c r="I52" s="154">
        <f t="shared" si="7"/>
        <v>0</v>
      </c>
    </row>
    <row r="53" spans="1:9" ht="15" customHeight="1" thickBot="1" x14ac:dyDescent="0.25">
      <c r="A53" s="152">
        <v>604</v>
      </c>
      <c r="B53" s="153" t="s">
        <v>121</v>
      </c>
      <c r="C53" s="142">
        <v>0</v>
      </c>
      <c r="D53" s="142"/>
      <c r="E53" s="142"/>
      <c r="F53" s="142"/>
      <c r="G53" s="142"/>
      <c r="H53" s="142"/>
      <c r="I53" s="154">
        <f t="shared" si="7"/>
        <v>0</v>
      </c>
    </row>
    <row r="54" spans="1:9" ht="15" customHeight="1" thickBot="1" x14ac:dyDescent="0.25">
      <c r="A54" s="152">
        <v>605</v>
      </c>
      <c r="B54" s="153" t="s">
        <v>122</v>
      </c>
      <c r="C54" s="142">
        <v>0</v>
      </c>
      <c r="D54" s="142"/>
      <c r="E54" s="142"/>
      <c r="F54" s="142"/>
      <c r="G54" s="142"/>
      <c r="H54" s="142"/>
      <c r="I54" s="154">
        <f t="shared" si="7"/>
        <v>0</v>
      </c>
    </row>
    <row r="55" spans="1:9" ht="15" customHeight="1" thickBot="1" x14ac:dyDescent="0.25">
      <c r="A55" s="152">
        <v>606</v>
      </c>
      <c r="B55" s="153" t="s">
        <v>70</v>
      </c>
      <c r="C55" s="142">
        <v>90</v>
      </c>
      <c r="D55" s="142"/>
      <c r="E55" s="142"/>
      <c r="F55" s="142"/>
      <c r="G55" s="142"/>
      <c r="H55" s="142"/>
      <c r="I55" s="154">
        <f t="shared" si="7"/>
        <v>0</v>
      </c>
    </row>
    <row r="56" spans="1:9" ht="15" customHeight="1" thickBot="1" x14ac:dyDescent="0.25">
      <c r="A56" s="152">
        <v>609</v>
      </c>
      <c r="B56" s="153" t="s">
        <v>123</v>
      </c>
      <c r="C56" s="142">
        <v>0</v>
      </c>
      <c r="D56" s="142"/>
      <c r="E56" s="142"/>
      <c r="F56" s="142"/>
      <c r="G56" s="142"/>
      <c r="H56" s="142"/>
      <c r="I56" s="154">
        <f t="shared" si="7"/>
        <v>0</v>
      </c>
    </row>
    <row r="57" spans="1:9" ht="15" customHeight="1" thickBot="1" x14ac:dyDescent="0.25">
      <c r="A57" s="152">
        <v>650</v>
      </c>
      <c r="B57" s="153" t="s">
        <v>124</v>
      </c>
      <c r="C57" s="142">
        <v>0</v>
      </c>
      <c r="D57" s="142"/>
      <c r="E57" s="142"/>
      <c r="F57" s="142"/>
      <c r="G57" s="142"/>
      <c r="H57" s="142"/>
      <c r="I57" s="154">
        <f t="shared" si="7"/>
        <v>0</v>
      </c>
    </row>
    <row r="58" spans="1:9" ht="15" customHeight="1" thickBot="1" x14ac:dyDescent="0.25">
      <c r="A58" s="152" t="s">
        <v>71</v>
      </c>
      <c r="B58" s="153" t="s">
        <v>72</v>
      </c>
      <c r="C58" s="142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54">
        <f t="shared" si="7"/>
        <v>0</v>
      </c>
    </row>
    <row r="59" spans="1:9" ht="26.25" thickBot="1" x14ac:dyDescent="0.25">
      <c r="A59" s="156" t="s">
        <v>35</v>
      </c>
      <c r="B59" s="157" t="s">
        <v>73</v>
      </c>
      <c r="C59" s="158">
        <f t="shared" ref="C59:H59" si="8">SUM(C49:C58)</f>
        <v>2253</v>
      </c>
      <c r="D59" s="158">
        <f t="shared" si="8"/>
        <v>2380</v>
      </c>
      <c r="E59" s="158">
        <f t="shared" si="8"/>
        <v>2380</v>
      </c>
      <c r="F59" s="158">
        <f t="shared" si="8"/>
        <v>2380</v>
      </c>
      <c r="G59" s="158">
        <f t="shared" si="8"/>
        <v>2380</v>
      </c>
      <c r="H59" s="158">
        <f t="shared" si="8"/>
        <v>2342</v>
      </c>
      <c r="I59" s="154">
        <f t="shared" si="7"/>
        <v>-38</v>
      </c>
    </row>
    <row r="60" spans="1:9" ht="15" customHeight="1" thickBot="1" x14ac:dyDescent="0.25">
      <c r="A60" s="152">
        <v>230</v>
      </c>
      <c r="B60" s="152" t="s">
        <v>74</v>
      </c>
      <c r="C60" s="142">
        <v>0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54">
        <f t="shared" si="7"/>
        <v>0</v>
      </c>
    </row>
    <row r="61" spans="1:9" ht="15" customHeight="1" thickBot="1" x14ac:dyDescent="0.25">
      <c r="A61" s="152">
        <v>231</v>
      </c>
      <c r="B61" s="152" t="s">
        <v>125</v>
      </c>
      <c r="C61" s="142">
        <v>0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54">
        <f t="shared" si="7"/>
        <v>0</v>
      </c>
    </row>
    <row r="62" spans="1:9" ht="15" customHeight="1" thickBot="1" x14ac:dyDescent="0.25">
      <c r="A62" s="152">
        <v>232</v>
      </c>
      <c r="B62" s="152" t="s">
        <v>75</v>
      </c>
      <c r="C62" s="142">
        <v>0</v>
      </c>
      <c r="D62" s="142">
        <v>0</v>
      </c>
      <c r="E62" s="142">
        <v>0</v>
      </c>
      <c r="F62" s="142">
        <v>0</v>
      </c>
      <c r="G62" s="142">
        <v>0</v>
      </c>
      <c r="H62" s="142">
        <v>0</v>
      </c>
      <c r="I62" s="154">
        <f t="shared" si="7"/>
        <v>0</v>
      </c>
    </row>
    <row r="63" spans="1:9" ht="21" customHeight="1" thickBot="1" x14ac:dyDescent="0.25">
      <c r="A63" s="156" t="s">
        <v>35</v>
      </c>
      <c r="B63" s="157" t="s">
        <v>76</v>
      </c>
      <c r="C63" s="158">
        <f t="shared" ref="C63:H63" si="9">SUM(C60:C62)</f>
        <v>0</v>
      </c>
      <c r="D63" s="158">
        <f t="shared" si="9"/>
        <v>0</v>
      </c>
      <c r="E63" s="158">
        <f t="shared" si="9"/>
        <v>0</v>
      </c>
      <c r="F63" s="158">
        <f t="shared" si="9"/>
        <v>0</v>
      </c>
      <c r="G63" s="158">
        <f t="shared" si="9"/>
        <v>0</v>
      </c>
      <c r="H63" s="158">
        <f t="shared" si="9"/>
        <v>0</v>
      </c>
      <c r="I63" s="154">
        <f>SUM(H60-G62)</f>
        <v>0</v>
      </c>
    </row>
    <row r="64" spans="1:9" ht="15" customHeight="1" thickBot="1" x14ac:dyDescent="0.25">
      <c r="A64" s="152">
        <v>230</v>
      </c>
      <c r="B64" s="152" t="s">
        <v>74</v>
      </c>
      <c r="C64" s="142">
        <v>0</v>
      </c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54">
        <f>SUM(H64-G64)</f>
        <v>0</v>
      </c>
    </row>
    <row r="65" spans="1:9" ht="15" customHeight="1" thickBot="1" x14ac:dyDescent="0.25">
      <c r="A65" s="152">
        <v>231</v>
      </c>
      <c r="B65" s="152" t="s">
        <v>125</v>
      </c>
      <c r="C65" s="142">
        <v>0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54">
        <f>SUM(H65-G65)</f>
        <v>0</v>
      </c>
    </row>
    <row r="66" spans="1:9" ht="15" customHeight="1" thickBot="1" x14ac:dyDescent="0.25">
      <c r="A66" s="152">
        <v>232</v>
      </c>
      <c r="B66" s="152" t="s">
        <v>75</v>
      </c>
      <c r="C66" s="142">
        <v>0</v>
      </c>
      <c r="D66" s="142">
        <v>0</v>
      </c>
      <c r="E66" s="142">
        <v>0</v>
      </c>
      <c r="F66" s="142">
        <v>0</v>
      </c>
      <c r="G66" s="142">
        <v>0</v>
      </c>
      <c r="H66" s="142">
        <v>0</v>
      </c>
      <c r="I66" s="154">
        <f>SUM(H66-G66)</f>
        <v>0</v>
      </c>
    </row>
    <row r="67" spans="1:9" ht="20.45" customHeight="1" thickBot="1" x14ac:dyDescent="0.25">
      <c r="A67" s="156" t="s">
        <v>35</v>
      </c>
      <c r="B67" s="157" t="s">
        <v>36</v>
      </c>
      <c r="C67" s="158">
        <f t="shared" ref="C67:H67" si="10">SUM(C64:C66)</f>
        <v>0</v>
      </c>
      <c r="D67" s="158">
        <f t="shared" si="10"/>
        <v>0</v>
      </c>
      <c r="E67" s="158">
        <f t="shared" si="10"/>
        <v>0</v>
      </c>
      <c r="F67" s="158">
        <f t="shared" si="10"/>
        <v>0</v>
      </c>
      <c r="G67" s="158">
        <f t="shared" si="10"/>
        <v>0</v>
      </c>
      <c r="H67" s="158">
        <f t="shared" si="10"/>
        <v>0</v>
      </c>
      <c r="I67" s="154">
        <f>SUM(H64-G66)</f>
        <v>0</v>
      </c>
    </row>
    <row r="68" spans="1:9" ht="13.5" thickBot="1" x14ac:dyDescent="0.25">
      <c r="A68" s="156" t="s">
        <v>37</v>
      </c>
      <c r="B68" s="160" t="s">
        <v>38</v>
      </c>
      <c r="C68" s="161">
        <v>0</v>
      </c>
      <c r="D68" s="161">
        <v>0</v>
      </c>
      <c r="E68" s="161">
        <v>0</v>
      </c>
      <c r="F68" s="161">
        <v>0</v>
      </c>
      <c r="G68" s="161">
        <v>0</v>
      </c>
      <c r="H68" s="161">
        <v>0</v>
      </c>
      <c r="I68" s="154">
        <f>SUM(H68-G68)</f>
        <v>0</v>
      </c>
    </row>
    <row r="69" spans="1:9" ht="13.5" thickBot="1" x14ac:dyDescent="0.25">
      <c r="A69" s="245" t="s">
        <v>77</v>
      </c>
      <c r="B69" s="246"/>
      <c r="C69" s="162">
        <f t="shared" ref="C69:H69" si="11">C59+C63</f>
        <v>2253</v>
      </c>
      <c r="D69" s="162">
        <f t="shared" si="11"/>
        <v>2380</v>
      </c>
      <c r="E69" s="162">
        <f t="shared" si="11"/>
        <v>2380</v>
      </c>
      <c r="F69" s="162">
        <f t="shared" si="11"/>
        <v>2380</v>
      </c>
      <c r="G69" s="162">
        <f t="shared" si="11"/>
        <v>2380</v>
      </c>
      <c r="H69" s="162">
        <f t="shared" si="11"/>
        <v>2342</v>
      </c>
      <c r="I69" s="163">
        <f>SUM(H69-G69)</f>
        <v>-38</v>
      </c>
    </row>
    <row r="71" spans="1:9" ht="19.149999999999999" customHeight="1" x14ac:dyDescent="0.2">
      <c r="A71" s="244" t="s">
        <v>66</v>
      </c>
      <c r="B71" s="164" t="s">
        <v>20</v>
      </c>
      <c r="C71" s="165" t="s">
        <v>302</v>
      </c>
      <c r="D71" s="244" t="s">
        <v>19</v>
      </c>
      <c r="E71" s="166" t="s">
        <v>283</v>
      </c>
    </row>
    <row r="72" spans="1:9" ht="21" customHeight="1" x14ac:dyDescent="0.2">
      <c r="A72" s="244"/>
      <c r="B72" s="164" t="s">
        <v>21</v>
      </c>
      <c r="C72" s="165" t="str">
        <f>C33</f>
        <v>08.02.2022</v>
      </c>
      <c r="D72" s="244"/>
      <c r="E72" s="166" t="str">
        <f>E33</f>
        <v>08.02.2022</v>
      </c>
    </row>
    <row r="73" spans="1:9" ht="32.25" customHeight="1" x14ac:dyDescent="0.2">
      <c r="A73" s="244"/>
      <c r="B73" s="164" t="s">
        <v>22</v>
      </c>
      <c r="C73" s="165"/>
      <c r="D73" s="244"/>
      <c r="E73" s="166"/>
    </row>
    <row r="83" spans="1:9" ht="24.95" customHeight="1" thickBot="1" x14ac:dyDescent="0.25">
      <c r="A83" s="136"/>
      <c r="B83" s="137"/>
      <c r="C83" s="138"/>
      <c r="D83" s="138"/>
      <c r="E83" s="138"/>
      <c r="F83" s="138"/>
      <c r="G83" s="138"/>
      <c r="H83" s="138"/>
      <c r="I83" s="179" t="s">
        <v>68</v>
      </c>
    </row>
    <row r="84" spans="1:9" ht="24.95" customHeight="1" thickBot="1" x14ac:dyDescent="0.25">
      <c r="A84" s="139" t="s">
        <v>25</v>
      </c>
      <c r="B84" s="174" t="s">
        <v>115</v>
      </c>
      <c r="C84" s="252"/>
      <c r="D84" s="247"/>
      <c r="E84" s="247"/>
      <c r="F84" s="247"/>
      <c r="G84" s="247"/>
      <c r="H84" s="180" t="s">
        <v>26</v>
      </c>
      <c r="I84" s="181" t="s">
        <v>27</v>
      </c>
    </row>
    <row r="85" spans="1:9" ht="24.95" customHeight="1" thickBot="1" x14ac:dyDescent="0.25">
      <c r="A85" s="30" t="s">
        <v>28</v>
      </c>
      <c r="B85" s="175" t="s">
        <v>94</v>
      </c>
      <c r="C85" s="261"/>
      <c r="D85" s="248"/>
      <c r="E85" s="248"/>
      <c r="F85" s="248"/>
      <c r="G85" s="248"/>
      <c r="H85" s="141" t="s">
        <v>69</v>
      </c>
      <c r="I85" s="167">
        <v>1710</v>
      </c>
    </row>
    <row r="86" spans="1:9" ht="24.95" customHeight="1" thickBot="1" x14ac:dyDescent="0.25">
      <c r="A86" s="127" t="s">
        <v>30</v>
      </c>
      <c r="B86" s="240" t="s">
        <v>17</v>
      </c>
      <c r="C86" s="182">
        <v>-1</v>
      </c>
      <c r="D86" s="145">
        <v>-2</v>
      </c>
      <c r="E86" s="145">
        <v>-3</v>
      </c>
      <c r="F86" s="146">
        <v>-4</v>
      </c>
      <c r="G86" s="146">
        <v>-5</v>
      </c>
      <c r="H86" s="146">
        <v>-6</v>
      </c>
      <c r="I86" s="168" t="s">
        <v>11</v>
      </c>
    </row>
    <row r="87" spans="1:9" ht="24.95" customHeight="1" x14ac:dyDescent="0.2">
      <c r="A87" s="127"/>
      <c r="B87" s="242"/>
      <c r="C87" s="183" t="s">
        <v>12</v>
      </c>
      <c r="D87" s="148" t="s">
        <v>13</v>
      </c>
      <c r="E87" s="148" t="s">
        <v>14</v>
      </c>
      <c r="F87" s="148" t="s">
        <v>14</v>
      </c>
      <c r="G87" s="148" t="s">
        <v>14</v>
      </c>
      <c r="H87" s="148" t="s">
        <v>31</v>
      </c>
      <c r="I87" s="184" t="s">
        <v>15</v>
      </c>
    </row>
    <row r="88" spans="1:9" ht="24.95" customHeight="1" x14ac:dyDescent="0.2">
      <c r="A88" s="127"/>
      <c r="B88" s="242"/>
      <c r="C88" s="185" t="s">
        <v>292</v>
      </c>
      <c r="D88" s="128" t="s">
        <v>293</v>
      </c>
      <c r="E88" s="128" t="s">
        <v>294</v>
      </c>
      <c r="F88" s="128" t="s">
        <v>116</v>
      </c>
      <c r="G88" s="150" t="s">
        <v>32</v>
      </c>
      <c r="H88" s="128" t="s">
        <v>33</v>
      </c>
      <c r="I88" s="186"/>
    </row>
    <row r="89" spans="1:9" ht="24.95" customHeight="1" thickBot="1" x14ac:dyDescent="0.25">
      <c r="A89" s="30"/>
      <c r="B89" s="243"/>
      <c r="C89" s="187"/>
      <c r="D89" s="188"/>
      <c r="E89" s="188"/>
      <c r="F89" s="188"/>
      <c r="G89" s="189"/>
      <c r="H89" s="190" t="s">
        <v>34</v>
      </c>
      <c r="I89" s="191"/>
    </row>
    <row r="90" spans="1:9" ht="15" customHeight="1" thickBot="1" x14ac:dyDescent="0.25">
      <c r="A90" s="152">
        <v>600</v>
      </c>
      <c r="B90" s="153" t="s">
        <v>117</v>
      </c>
      <c r="C90" s="171">
        <v>0</v>
      </c>
      <c r="D90" s="171">
        <v>0</v>
      </c>
      <c r="E90" s="171">
        <v>0</v>
      </c>
      <c r="F90" s="171">
        <v>0</v>
      </c>
      <c r="G90" s="171">
        <v>0</v>
      </c>
      <c r="H90" s="171">
        <v>0</v>
      </c>
      <c r="I90" s="154">
        <f t="shared" ref="I90:I103" si="12">SUM(H90-G90)</f>
        <v>0</v>
      </c>
    </row>
    <row r="91" spans="1:9" ht="15" customHeight="1" thickBot="1" x14ac:dyDescent="0.25">
      <c r="A91" s="152">
        <v>601</v>
      </c>
      <c r="B91" s="153" t="s">
        <v>118</v>
      </c>
      <c r="C91" s="142">
        <v>0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  <c r="I91" s="154">
        <f t="shared" si="12"/>
        <v>0</v>
      </c>
    </row>
    <row r="92" spans="1:9" ht="15" customHeight="1" thickBot="1" x14ac:dyDescent="0.25">
      <c r="A92" s="152">
        <v>602</v>
      </c>
      <c r="B92" s="153" t="s">
        <v>119</v>
      </c>
      <c r="C92" s="142">
        <v>663</v>
      </c>
      <c r="D92" s="159">
        <v>2000</v>
      </c>
      <c r="E92" s="159">
        <v>2000</v>
      </c>
      <c r="F92" s="142">
        <f>1000+1000</f>
        <v>2000</v>
      </c>
      <c r="G92" s="142">
        <f>1000+1000</f>
        <v>2000</v>
      </c>
      <c r="H92" s="142">
        <f>550+795</f>
        <v>1345</v>
      </c>
      <c r="I92" s="154">
        <f t="shared" si="12"/>
        <v>-655</v>
      </c>
    </row>
    <row r="93" spans="1:9" ht="15" customHeight="1" thickBot="1" x14ac:dyDescent="0.25">
      <c r="A93" s="152">
        <v>603</v>
      </c>
      <c r="B93" s="153" t="s">
        <v>120</v>
      </c>
      <c r="C93" s="142">
        <v>0</v>
      </c>
      <c r="D93" s="142">
        <v>0</v>
      </c>
      <c r="E93" s="142">
        <v>0</v>
      </c>
      <c r="F93" s="142">
        <v>0</v>
      </c>
      <c r="G93" s="142">
        <v>0</v>
      </c>
      <c r="H93" s="142">
        <v>0</v>
      </c>
      <c r="I93" s="154">
        <f t="shared" si="12"/>
        <v>0</v>
      </c>
    </row>
    <row r="94" spans="1:9" ht="15" customHeight="1" thickBot="1" x14ac:dyDescent="0.25">
      <c r="A94" s="152">
        <v>604</v>
      </c>
      <c r="B94" s="153" t="s">
        <v>121</v>
      </c>
      <c r="C94" s="142">
        <v>0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  <c r="I94" s="154">
        <f t="shared" si="12"/>
        <v>0</v>
      </c>
    </row>
    <row r="95" spans="1:9" ht="15" customHeight="1" thickBot="1" x14ac:dyDescent="0.25">
      <c r="A95" s="152">
        <v>605</v>
      </c>
      <c r="B95" s="153" t="s">
        <v>122</v>
      </c>
      <c r="C95" s="142">
        <v>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54">
        <f t="shared" si="12"/>
        <v>0</v>
      </c>
    </row>
    <row r="96" spans="1:9" ht="15" customHeight="1" thickBot="1" x14ac:dyDescent="0.25">
      <c r="A96" s="152">
        <v>606</v>
      </c>
      <c r="B96" s="153" t="s">
        <v>70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  <c r="I96" s="154">
        <f t="shared" si="12"/>
        <v>0</v>
      </c>
    </row>
    <row r="97" spans="1:9" ht="15" customHeight="1" thickBot="1" x14ac:dyDescent="0.25">
      <c r="A97" s="152">
        <v>609</v>
      </c>
      <c r="B97" s="153" t="s">
        <v>123</v>
      </c>
      <c r="C97" s="142">
        <v>0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  <c r="I97" s="154">
        <f t="shared" si="12"/>
        <v>0</v>
      </c>
    </row>
    <row r="98" spans="1:9" ht="15" customHeight="1" thickBot="1" x14ac:dyDescent="0.25">
      <c r="A98" s="152">
        <v>650</v>
      </c>
      <c r="B98" s="153" t="s">
        <v>124</v>
      </c>
      <c r="C98" s="142">
        <v>0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  <c r="I98" s="154">
        <f t="shared" si="12"/>
        <v>0</v>
      </c>
    </row>
    <row r="99" spans="1:9" ht="15" customHeight="1" thickBot="1" x14ac:dyDescent="0.25">
      <c r="A99" s="152" t="s">
        <v>71</v>
      </c>
      <c r="B99" s="153" t="s">
        <v>72</v>
      </c>
      <c r="C99" s="142">
        <v>0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  <c r="I99" s="154">
        <f t="shared" si="12"/>
        <v>0</v>
      </c>
    </row>
    <row r="100" spans="1:9" ht="26.25" thickBot="1" x14ac:dyDescent="0.25">
      <c r="A100" s="156" t="s">
        <v>35</v>
      </c>
      <c r="B100" s="157" t="s">
        <v>73</v>
      </c>
      <c r="C100" s="158">
        <f>SUM(C90:C99)</f>
        <v>663</v>
      </c>
      <c r="D100" s="158">
        <f t="shared" ref="D100" si="13">SUM(D90:D99)</f>
        <v>2000</v>
      </c>
      <c r="E100" s="158">
        <f t="shared" ref="E100" si="14">SUM(E90:E99)</f>
        <v>2000</v>
      </c>
      <c r="F100" s="158">
        <f t="shared" ref="F100" si="15">SUM(F90:F99)</f>
        <v>2000</v>
      </c>
      <c r="G100" s="158">
        <f t="shared" ref="G100" si="16">SUM(G90:G99)</f>
        <v>2000</v>
      </c>
      <c r="H100" s="158">
        <f t="shared" ref="H100" si="17">SUM(H90:H99)</f>
        <v>1345</v>
      </c>
      <c r="I100" s="154">
        <f t="shared" si="12"/>
        <v>-655</v>
      </c>
    </row>
    <row r="101" spans="1:9" ht="15" customHeight="1" thickBot="1" x14ac:dyDescent="0.25">
      <c r="A101" s="152">
        <v>230</v>
      </c>
      <c r="B101" s="152" t="s">
        <v>74</v>
      </c>
      <c r="C101" s="142">
        <v>0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  <c r="I101" s="154">
        <f t="shared" si="12"/>
        <v>0</v>
      </c>
    </row>
    <row r="102" spans="1:9" ht="15" customHeight="1" thickBot="1" x14ac:dyDescent="0.25">
      <c r="A102" s="152">
        <v>231</v>
      </c>
      <c r="B102" s="152" t="s">
        <v>125</v>
      </c>
      <c r="C102" s="142">
        <v>2400</v>
      </c>
      <c r="D102" s="142">
        <v>5000</v>
      </c>
      <c r="E102" s="142">
        <v>5000</v>
      </c>
      <c r="F102" s="142">
        <f>3723+2421</f>
        <v>6144</v>
      </c>
      <c r="G102" s="142">
        <f>3723+2421</f>
        <v>6144</v>
      </c>
      <c r="H102" s="142">
        <f>3723+2421</f>
        <v>6144</v>
      </c>
      <c r="I102" s="154">
        <f t="shared" si="12"/>
        <v>0</v>
      </c>
    </row>
    <row r="103" spans="1:9" ht="15" customHeight="1" thickBot="1" x14ac:dyDescent="0.25">
      <c r="A103" s="152">
        <v>232</v>
      </c>
      <c r="B103" s="152" t="s">
        <v>75</v>
      </c>
      <c r="C103" s="142">
        <v>0</v>
      </c>
      <c r="D103" s="142">
        <v>0</v>
      </c>
      <c r="E103" s="142">
        <v>0</v>
      </c>
      <c r="F103" s="142">
        <v>0</v>
      </c>
      <c r="G103" s="142">
        <v>0</v>
      </c>
      <c r="H103" s="142">
        <v>0</v>
      </c>
      <c r="I103" s="154">
        <f t="shared" si="12"/>
        <v>0</v>
      </c>
    </row>
    <row r="104" spans="1:9" ht="21" customHeight="1" thickBot="1" x14ac:dyDescent="0.25">
      <c r="A104" s="156" t="s">
        <v>35</v>
      </c>
      <c r="B104" s="157" t="s">
        <v>76</v>
      </c>
      <c r="C104" s="158">
        <f t="shared" ref="C104:H104" si="18">SUM(C101:C103)</f>
        <v>2400</v>
      </c>
      <c r="D104" s="158">
        <f t="shared" si="18"/>
        <v>5000</v>
      </c>
      <c r="E104" s="158">
        <f t="shared" si="18"/>
        <v>5000</v>
      </c>
      <c r="F104" s="158">
        <f t="shared" si="18"/>
        <v>6144</v>
      </c>
      <c r="G104" s="158">
        <f t="shared" si="18"/>
        <v>6144</v>
      </c>
      <c r="H104" s="158">
        <f t="shared" si="18"/>
        <v>6144</v>
      </c>
      <c r="I104" s="154">
        <f>SUM(H101-G103)</f>
        <v>0</v>
      </c>
    </row>
    <row r="105" spans="1:9" ht="15" customHeight="1" thickBot="1" x14ac:dyDescent="0.25">
      <c r="A105" s="152">
        <v>230</v>
      </c>
      <c r="B105" s="152" t="s">
        <v>74</v>
      </c>
      <c r="C105" s="142">
        <v>0</v>
      </c>
      <c r="D105" s="142">
        <v>0</v>
      </c>
      <c r="E105" s="142">
        <v>0</v>
      </c>
      <c r="F105" s="142">
        <v>0</v>
      </c>
      <c r="G105" s="142">
        <v>0</v>
      </c>
      <c r="H105" s="142">
        <v>0</v>
      </c>
      <c r="I105" s="154">
        <f>SUM(H105-G105)</f>
        <v>0</v>
      </c>
    </row>
    <row r="106" spans="1:9" ht="15" customHeight="1" thickBot="1" x14ac:dyDescent="0.25">
      <c r="A106" s="152">
        <v>231</v>
      </c>
      <c r="B106" s="152" t="s">
        <v>125</v>
      </c>
      <c r="C106" s="142">
        <v>0</v>
      </c>
      <c r="D106" s="142">
        <v>0</v>
      </c>
      <c r="E106" s="142">
        <v>0</v>
      </c>
      <c r="F106" s="142">
        <v>0</v>
      </c>
      <c r="G106" s="142">
        <v>0</v>
      </c>
      <c r="H106" s="142">
        <v>0</v>
      </c>
      <c r="I106" s="154">
        <f>SUM(H106-G106)</f>
        <v>0</v>
      </c>
    </row>
    <row r="107" spans="1:9" ht="15" customHeight="1" thickBot="1" x14ac:dyDescent="0.25">
      <c r="A107" s="152">
        <v>232</v>
      </c>
      <c r="B107" s="152" t="s">
        <v>75</v>
      </c>
      <c r="C107" s="142">
        <v>0</v>
      </c>
      <c r="D107" s="142">
        <v>0</v>
      </c>
      <c r="E107" s="142">
        <v>0</v>
      </c>
      <c r="F107" s="142">
        <v>0</v>
      </c>
      <c r="G107" s="142">
        <v>0</v>
      </c>
      <c r="H107" s="142">
        <v>0</v>
      </c>
      <c r="I107" s="154">
        <f>SUM(H107-G107)</f>
        <v>0</v>
      </c>
    </row>
    <row r="108" spans="1:9" ht="20.45" customHeight="1" thickBot="1" x14ac:dyDescent="0.25">
      <c r="A108" s="156" t="s">
        <v>35</v>
      </c>
      <c r="B108" s="157" t="s">
        <v>36</v>
      </c>
      <c r="C108" s="158">
        <f t="shared" ref="C108:H108" si="19">SUM(C105:C107)</f>
        <v>0</v>
      </c>
      <c r="D108" s="158">
        <f t="shared" si="19"/>
        <v>0</v>
      </c>
      <c r="E108" s="158">
        <f t="shared" si="19"/>
        <v>0</v>
      </c>
      <c r="F108" s="158">
        <f t="shared" si="19"/>
        <v>0</v>
      </c>
      <c r="G108" s="158">
        <f t="shared" si="19"/>
        <v>0</v>
      </c>
      <c r="H108" s="158">
        <f t="shared" si="19"/>
        <v>0</v>
      </c>
      <c r="I108" s="154">
        <f>SUM(H105-G107)</f>
        <v>0</v>
      </c>
    </row>
    <row r="109" spans="1:9" ht="13.5" thickBot="1" x14ac:dyDescent="0.25">
      <c r="A109" s="156" t="s">
        <v>37</v>
      </c>
      <c r="B109" s="160" t="s">
        <v>38</v>
      </c>
      <c r="C109" s="161">
        <f>C104</f>
        <v>2400</v>
      </c>
      <c r="D109" s="161">
        <f t="shared" ref="D109" si="20">D104</f>
        <v>5000</v>
      </c>
      <c r="E109" s="161">
        <f t="shared" ref="E109" si="21">E104</f>
        <v>5000</v>
      </c>
      <c r="F109" s="161">
        <f t="shared" ref="F109" si="22">F104</f>
        <v>6144</v>
      </c>
      <c r="G109" s="161">
        <f t="shared" ref="G109" si="23">G104</f>
        <v>6144</v>
      </c>
      <c r="H109" s="161">
        <f t="shared" ref="H109" si="24">H104</f>
        <v>6144</v>
      </c>
      <c r="I109" s="154">
        <f>SUM(H109-G109)</f>
        <v>0</v>
      </c>
    </row>
    <row r="110" spans="1:9" ht="13.5" thickBot="1" x14ac:dyDescent="0.25">
      <c r="A110" s="245" t="s">
        <v>77</v>
      </c>
      <c r="B110" s="246"/>
      <c r="C110" s="162">
        <f>C100+C109</f>
        <v>3063</v>
      </c>
      <c r="D110" s="162">
        <f t="shared" ref="D110" si="25">D100+D109</f>
        <v>7000</v>
      </c>
      <c r="E110" s="162">
        <f t="shared" ref="E110" si="26">E100+E109</f>
        <v>7000</v>
      </c>
      <c r="F110" s="162">
        <f t="shared" ref="F110" si="27">F100+F109</f>
        <v>8144</v>
      </c>
      <c r="G110" s="162">
        <f t="shared" ref="G110" si="28">G100+G109</f>
        <v>8144</v>
      </c>
      <c r="H110" s="162">
        <f t="shared" ref="H110" si="29">H100+H109</f>
        <v>7489</v>
      </c>
      <c r="I110" s="163">
        <f>SUM(H110-G110)</f>
        <v>-655</v>
      </c>
    </row>
    <row r="112" spans="1:9" ht="19.149999999999999" customHeight="1" x14ac:dyDescent="0.2">
      <c r="A112" s="244" t="s">
        <v>66</v>
      </c>
      <c r="B112" s="164" t="s">
        <v>20</v>
      </c>
      <c r="C112" s="165" t="s">
        <v>302</v>
      </c>
      <c r="D112" s="244" t="s">
        <v>19</v>
      </c>
      <c r="E112" s="166" t="s">
        <v>283</v>
      </c>
    </row>
    <row r="113" spans="1:9" ht="21" customHeight="1" x14ac:dyDescent="0.2">
      <c r="A113" s="244"/>
      <c r="B113" s="164" t="s">
        <v>21</v>
      </c>
      <c r="C113" s="165"/>
      <c r="D113" s="244"/>
      <c r="E113" s="166"/>
    </row>
    <row r="114" spans="1:9" ht="22.9" customHeight="1" x14ac:dyDescent="0.2">
      <c r="A114" s="244"/>
      <c r="B114" s="164" t="s">
        <v>22</v>
      </c>
      <c r="C114" s="166" t="str">
        <f>C72</f>
        <v>08.02.2022</v>
      </c>
      <c r="D114" s="244"/>
      <c r="E114" s="166" t="str">
        <f>E72</f>
        <v>08.02.2022</v>
      </c>
    </row>
    <row r="125" spans="1:9" ht="15.75" customHeight="1" x14ac:dyDescent="0.2">
      <c r="A125" s="150"/>
      <c r="B125" s="192"/>
      <c r="C125" s="138"/>
      <c r="D125" s="138"/>
      <c r="E125" s="138"/>
      <c r="F125" s="138"/>
      <c r="G125" s="138"/>
      <c r="H125" s="138"/>
      <c r="I125" s="179" t="s">
        <v>68</v>
      </c>
    </row>
    <row r="126" spans="1:9" ht="24.95" customHeight="1" thickBot="1" x14ac:dyDescent="0.25">
      <c r="A126" s="194" t="s">
        <v>25</v>
      </c>
      <c r="B126" s="195" t="s">
        <v>115</v>
      </c>
      <c r="C126" s="247"/>
      <c r="D126" s="247"/>
      <c r="E126" s="247"/>
      <c r="F126" s="247"/>
      <c r="G126" s="247"/>
      <c r="H126" s="180" t="s">
        <v>26</v>
      </c>
      <c r="I126" s="181">
        <v>2137001</v>
      </c>
    </row>
    <row r="127" spans="1:9" ht="24.95" customHeight="1" thickBot="1" x14ac:dyDescent="0.25">
      <c r="A127" s="196" t="s">
        <v>28</v>
      </c>
      <c r="B127" s="143" t="s">
        <v>95</v>
      </c>
      <c r="C127" s="248"/>
      <c r="D127" s="248"/>
      <c r="E127" s="248"/>
      <c r="F127" s="248"/>
      <c r="G127" s="248"/>
      <c r="H127" s="141" t="s">
        <v>69</v>
      </c>
      <c r="I127" s="167">
        <v>3140</v>
      </c>
    </row>
    <row r="128" spans="1:9" ht="24.95" customHeight="1" thickBot="1" x14ac:dyDescent="0.25">
      <c r="A128" s="197" t="s">
        <v>30</v>
      </c>
      <c r="B128" s="240" t="s">
        <v>17</v>
      </c>
      <c r="C128" s="145">
        <v>-1</v>
      </c>
      <c r="D128" s="145">
        <v>-2</v>
      </c>
      <c r="E128" s="145">
        <v>-3</v>
      </c>
      <c r="F128" s="146">
        <v>-4</v>
      </c>
      <c r="G128" s="146">
        <v>-5</v>
      </c>
      <c r="H128" s="146">
        <v>-6</v>
      </c>
      <c r="I128" s="168" t="s">
        <v>11</v>
      </c>
    </row>
    <row r="129" spans="1:9" ht="24.95" customHeight="1" x14ac:dyDescent="0.2">
      <c r="A129" s="197"/>
      <c r="B129" s="241"/>
      <c r="C129" s="148" t="s">
        <v>12</v>
      </c>
      <c r="D129" s="148" t="s">
        <v>13</v>
      </c>
      <c r="E129" s="148" t="s">
        <v>14</v>
      </c>
      <c r="F129" s="148" t="s">
        <v>14</v>
      </c>
      <c r="G129" s="148" t="s">
        <v>14</v>
      </c>
      <c r="H129" s="148" t="s">
        <v>31</v>
      </c>
      <c r="I129" s="184" t="s">
        <v>15</v>
      </c>
    </row>
    <row r="130" spans="1:9" ht="24.95" customHeight="1" x14ac:dyDescent="0.2">
      <c r="A130" s="197"/>
      <c r="B130" s="242"/>
      <c r="C130" s="128" t="s">
        <v>292</v>
      </c>
      <c r="D130" s="128" t="s">
        <v>293</v>
      </c>
      <c r="E130" s="128" t="s">
        <v>294</v>
      </c>
      <c r="F130" s="128" t="s">
        <v>116</v>
      </c>
      <c r="G130" s="150" t="s">
        <v>32</v>
      </c>
      <c r="H130" s="128" t="s">
        <v>33</v>
      </c>
      <c r="I130" s="186"/>
    </row>
    <row r="131" spans="1:9" ht="24.95" customHeight="1" x14ac:dyDescent="0.2">
      <c r="A131" s="198"/>
      <c r="B131" s="249"/>
      <c r="C131" s="190"/>
      <c r="D131" s="188"/>
      <c r="E131" s="188"/>
      <c r="F131" s="188"/>
      <c r="G131" s="189"/>
      <c r="H131" s="190" t="s">
        <v>34</v>
      </c>
      <c r="I131" s="191"/>
    </row>
    <row r="132" spans="1:9" ht="15" customHeight="1" thickBot="1" x14ac:dyDescent="0.25">
      <c r="A132" s="152">
        <v>600</v>
      </c>
      <c r="B132" s="153" t="s">
        <v>117</v>
      </c>
      <c r="C132" s="171">
        <f>1641+200</f>
        <v>1841</v>
      </c>
      <c r="D132" s="193">
        <v>1639</v>
      </c>
      <c r="E132" s="193">
        <v>1639</v>
      </c>
      <c r="F132" s="171">
        <f>1639</f>
        <v>1639</v>
      </c>
      <c r="G132" s="171">
        <f>1639</f>
        <v>1639</v>
      </c>
      <c r="H132" s="171">
        <v>1583</v>
      </c>
      <c r="I132" s="154">
        <f t="shared" ref="I132:I145" si="30">SUM(H132-G132)</f>
        <v>-56</v>
      </c>
    </row>
    <row r="133" spans="1:9" ht="15" customHeight="1" thickBot="1" x14ac:dyDescent="0.25">
      <c r="A133" s="152">
        <v>601</v>
      </c>
      <c r="B133" s="153" t="s">
        <v>118</v>
      </c>
      <c r="C133" s="142">
        <f>255+41</f>
        <v>296</v>
      </c>
      <c r="D133" s="159">
        <v>261</v>
      </c>
      <c r="E133" s="159">
        <v>261</v>
      </c>
      <c r="F133" s="142">
        <v>261</v>
      </c>
      <c r="G133" s="142">
        <v>261</v>
      </c>
      <c r="H133" s="142">
        <v>261</v>
      </c>
      <c r="I133" s="154">
        <f t="shared" si="30"/>
        <v>0</v>
      </c>
    </row>
    <row r="134" spans="1:9" ht="15" customHeight="1" thickBot="1" x14ac:dyDescent="0.25">
      <c r="A134" s="152">
        <v>602</v>
      </c>
      <c r="B134" s="153" t="s">
        <v>119</v>
      </c>
      <c r="C134" s="142">
        <v>27</v>
      </c>
      <c r="D134" s="159">
        <v>30</v>
      </c>
      <c r="E134" s="159">
        <v>30</v>
      </c>
      <c r="F134" s="142">
        <v>65</v>
      </c>
      <c r="G134" s="142">
        <v>65</v>
      </c>
      <c r="H134" s="142">
        <v>65</v>
      </c>
      <c r="I134" s="154">
        <f t="shared" si="30"/>
        <v>0</v>
      </c>
    </row>
    <row r="135" spans="1:9" ht="15" customHeight="1" thickBot="1" x14ac:dyDescent="0.25">
      <c r="A135" s="152">
        <v>603</v>
      </c>
      <c r="B135" s="153" t="s">
        <v>120</v>
      </c>
      <c r="C135" s="142">
        <v>0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  <c r="I135" s="154">
        <f t="shared" si="30"/>
        <v>0</v>
      </c>
    </row>
    <row r="136" spans="1:9" ht="15" customHeight="1" thickBot="1" x14ac:dyDescent="0.25">
      <c r="A136" s="152">
        <v>604</v>
      </c>
      <c r="B136" s="153" t="s">
        <v>121</v>
      </c>
      <c r="C136" s="142">
        <v>0</v>
      </c>
      <c r="D136" s="142">
        <v>0</v>
      </c>
      <c r="E136" s="142">
        <v>0</v>
      </c>
      <c r="F136" s="142">
        <v>0</v>
      </c>
      <c r="G136" s="142">
        <v>0</v>
      </c>
      <c r="H136" s="142">
        <v>0</v>
      </c>
      <c r="I136" s="154">
        <f t="shared" si="30"/>
        <v>0</v>
      </c>
    </row>
    <row r="137" spans="1:9" ht="15" customHeight="1" thickBot="1" x14ac:dyDescent="0.25">
      <c r="A137" s="152">
        <v>605</v>
      </c>
      <c r="B137" s="153" t="s">
        <v>122</v>
      </c>
      <c r="C137" s="142">
        <v>0</v>
      </c>
      <c r="D137" s="142">
        <v>0</v>
      </c>
      <c r="E137" s="142">
        <v>0</v>
      </c>
      <c r="F137" s="142">
        <v>0</v>
      </c>
      <c r="G137" s="142">
        <v>0</v>
      </c>
      <c r="H137" s="142">
        <v>0</v>
      </c>
      <c r="I137" s="154">
        <f t="shared" si="30"/>
        <v>0</v>
      </c>
    </row>
    <row r="138" spans="1:9" ht="15" customHeight="1" thickBot="1" x14ac:dyDescent="0.25">
      <c r="A138" s="152">
        <v>606</v>
      </c>
      <c r="B138" s="153" t="s">
        <v>70</v>
      </c>
      <c r="C138" s="142">
        <v>0</v>
      </c>
      <c r="D138" s="142">
        <v>0</v>
      </c>
      <c r="E138" s="142">
        <v>0</v>
      </c>
      <c r="F138" s="142">
        <v>0</v>
      </c>
      <c r="G138" s="142">
        <v>0</v>
      </c>
      <c r="H138" s="142">
        <v>0</v>
      </c>
      <c r="I138" s="154">
        <f t="shared" si="30"/>
        <v>0</v>
      </c>
    </row>
    <row r="139" spans="1:9" ht="15" customHeight="1" thickBot="1" x14ac:dyDescent="0.25">
      <c r="A139" s="152">
        <v>609</v>
      </c>
      <c r="B139" s="153" t="s">
        <v>123</v>
      </c>
      <c r="C139" s="142">
        <v>0</v>
      </c>
      <c r="D139" s="142">
        <v>0</v>
      </c>
      <c r="E139" s="142">
        <v>0</v>
      </c>
      <c r="F139" s="142">
        <v>0</v>
      </c>
      <c r="G139" s="142">
        <v>0</v>
      </c>
      <c r="H139" s="142">
        <v>0</v>
      </c>
      <c r="I139" s="154">
        <f t="shared" si="30"/>
        <v>0</v>
      </c>
    </row>
    <row r="140" spans="1:9" ht="15" customHeight="1" thickBot="1" x14ac:dyDescent="0.25">
      <c r="A140" s="152">
        <v>650</v>
      </c>
      <c r="B140" s="153" t="s">
        <v>124</v>
      </c>
      <c r="C140" s="142">
        <v>0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  <c r="I140" s="154">
        <f t="shared" si="30"/>
        <v>0</v>
      </c>
    </row>
    <row r="141" spans="1:9" ht="15" customHeight="1" thickBot="1" x14ac:dyDescent="0.25">
      <c r="A141" s="152" t="s">
        <v>71</v>
      </c>
      <c r="B141" s="153" t="s">
        <v>72</v>
      </c>
      <c r="C141" s="142">
        <v>0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  <c r="I141" s="154">
        <f t="shared" si="30"/>
        <v>0</v>
      </c>
    </row>
    <row r="142" spans="1:9" ht="26.25" thickBot="1" x14ac:dyDescent="0.25">
      <c r="A142" s="156" t="s">
        <v>35</v>
      </c>
      <c r="B142" s="157" t="s">
        <v>73</v>
      </c>
      <c r="C142" s="158">
        <f t="shared" ref="C142:H142" si="31">SUM(C132:C141)</f>
        <v>2164</v>
      </c>
      <c r="D142" s="158">
        <f t="shared" si="31"/>
        <v>1930</v>
      </c>
      <c r="E142" s="158">
        <f t="shared" si="31"/>
        <v>1930</v>
      </c>
      <c r="F142" s="158">
        <f t="shared" si="31"/>
        <v>1965</v>
      </c>
      <c r="G142" s="158">
        <f t="shared" si="31"/>
        <v>1965</v>
      </c>
      <c r="H142" s="158">
        <f t="shared" si="31"/>
        <v>1909</v>
      </c>
      <c r="I142" s="154">
        <f t="shared" si="30"/>
        <v>-56</v>
      </c>
    </row>
    <row r="143" spans="1:9" ht="15" customHeight="1" thickBot="1" x14ac:dyDescent="0.25">
      <c r="A143" s="152">
        <v>230</v>
      </c>
      <c r="B143" s="152" t="s">
        <v>74</v>
      </c>
      <c r="C143" s="142">
        <v>0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  <c r="I143" s="154">
        <f t="shared" si="30"/>
        <v>0</v>
      </c>
    </row>
    <row r="144" spans="1:9" ht="15" customHeight="1" thickBot="1" x14ac:dyDescent="0.25">
      <c r="A144" s="152">
        <v>231</v>
      </c>
      <c r="B144" s="152" t="s">
        <v>125</v>
      </c>
      <c r="C144" s="142">
        <v>0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  <c r="I144" s="154">
        <f t="shared" si="30"/>
        <v>0</v>
      </c>
    </row>
    <row r="145" spans="1:9" ht="15" customHeight="1" thickBot="1" x14ac:dyDescent="0.25">
      <c r="A145" s="152">
        <v>232</v>
      </c>
      <c r="B145" s="152" t="s">
        <v>75</v>
      </c>
      <c r="C145" s="142">
        <v>0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  <c r="I145" s="154">
        <f t="shared" si="30"/>
        <v>0</v>
      </c>
    </row>
    <row r="146" spans="1:9" ht="21" customHeight="1" thickBot="1" x14ac:dyDescent="0.25">
      <c r="A146" s="156" t="s">
        <v>35</v>
      </c>
      <c r="B146" s="157" t="s">
        <v>76</v>
      </c>
      <c r="C146" s="158">
        <f t="shared" ref="C146:H146" si="32">SUM(C143:C145)</f>
        <v>0</v>
      </c>
      <c r="D146" s="158">
        <f t="shared" si="32"/>
        <v>0</v>
      </c>
      <c r="E146" s="158">
        <f t="shared" si="32"/>
        <v>0</v>
      </c>
      <c r="F146" s="158">
        <f t="shared" si="32"/>
        <v>0</v>
      </c>
      <c r="G146" s="158">
        <f t="shared" si="32"/>
        <v>0</v>
      </c>
      <c r="H146" s="158">
        <f t="shared" si="32"/>
        <v>0</v>
      </c>
      <c r="I146" s="154">
        <f>SUM(H143-G145)</f>
        <v>0</v>
      </c>
    </row>
    <row r="147" spans="1:9" ht="15" customHeight="1" thickBot="1" x14ac:dyDescent="0.25">
      <c r="A147" s="152">
        <v>230</v>
      </c>
      <c r="B147" s="152" t="s">
        <v>74</v>
      </c>
      <c r="C147" s="142">
        <v>0</v>
      </c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  <c r="I147" s="154">
        <f>SUM(H147-G147)</f>
        <v>0</v>
      </c>
    </row>
    <row r="148" spans="1:9" ht="15" customHeight="1" thickBot="1" x14ac:dyDescent="0.25">
      <c r="A148" s="152">
        <v>231</v>
      </c>
      <c r="B148" s="152" t="s">
        <v>125</v>
      </c>
      <c r="C148" s="142">
        <v>0</v>
      </c>
      <c r="D148" s="142">
        <v>0</v>
      </c>
      <c r="E148" s="142">
        <v>0</v>
      </c>
      <c r="F148" s="142">
        <v>0</v>
      </c>
      <c r="G148" s="142">
        <v>0</v>
      </c>
      <c r="H148" s="142">
        <v>0</v>
      </c>
      <c r="I148" s="154">
        <f>SUM(H148-G148)</f>
        <v>0</v>
      </c>
    </row>
    <row r="149" spans="1:9" ht="15" customHeight="1" thickBot="1" x14ac:dyDescent="0.25">
      <c r="A149" s="152">
        <v>232</v>
      </c>
      <c r="B149" s="152" t="s">
        <v>75</v>
      </c>
      <c r="C149" s="142">
        <v>0</v>
      </c>
      <c r="D149" s="142">
        <v>0</v>
      </c>
      <c r="E149" s="142">
        <v>0</v>
      </c>
      <c r="F149" s="142">
        <v>0</v>
      </c>
      <c r="G149" s="142">
        <v>0</v>
      </c>
      <c r="H149" s="142">
        <v>0</v>
      </c>
      <c r="I149" s="154">
        <f>SUM(H149-G149)</f>
        <v>0</v>
      </c>
    </row>
    <row r="150" spans="1:9" ht="20.45" customHeight="1" thickBot="1" x14ac:dyDescent="0.25">
      <c r="A150" s="156" t="s">
        <v>35</v>
      </c>
      <c r="B150" s="157" t="s">
        <v>36</v>
      </c>
      <c r="C150" s="158">
        <f t="shared" ref="C150:H150" si="33">SUM(C147:C149)</f>
        <v>0</v>
      </c>
      <c r="D150" s="158">
        <f t="shared" si="33"/>
        <v>0</v>
      </c>
      <c r="E150" s="158">
        <f t="shared" si="33"/>
        <v>0</v>
      </c>
      <c r="F150" s="158">
        <f t="shared" si="33"/>
        <v>0</v>
      </c>
      <c r="G150" s="158">
        <f t="shared" si="33"/>
        <v>0</v>
      </c>
      <c r="H150" s="158">
        <f t="shared" si="33"/>
        <v>0</v>
      </c>
      <c r="I150" s="154">
        <f>SUM(H147-G149)</f>
        <v>0</v>
      </c>
    </row>
    <row r="151" spans="1:9" ht="13.5" thickBot="1" x14ac:dyDescent="0.25">
      <c r="A151" s="156" t="s">
        <v>37</v>
      </c>
      <c r="B151" s="160" t="s">
        <v>38</v>
      </c>
      <c r="C151" s="161">
        <v>0</v>
      </c>
      <c r="D151" s="161">
        <v>0</v>
      </c>
      <c r="E151" s="161">
        <v>0</v>
      </c>
      <c r="F151" s="161">
        <v>0</v>
      </c>
      <c r="G151" s="161">
        <v>0</v>
      </c>
      <c r="H151" s="161">
        <v>0</v>
      </c>
      <c r="I151" s="154">
        <f>SUM(H151-G151)</f>
        <v>0</v>
      </c>
    </row>
    <row r="152" spans="1:9" ht="13.5" thickBot="1" x14ac:dyDescent="0.25">
      <c r="A152" s="245" t="s">
        <v>77</v>
      </c>
      <c r="B152" s="246"/>
      <c r="C152" s="162">
        <f>C142+C151</f>
        <v>2164</v>
      </c>
      <c r="D152" s="162">
        <f t="shared" ref="D152" si="34">D142+D151</f>
        <v>1930</v>
      </c>
      <c r="E152" s="162">
        <f t="shared" ref="E152" si="35">E142+E151</f>
        <v>1930</v>
      </c>
      <c r="F152" s="162">
        <f t="shared" ref="F152" si="36">F142+F151</f>
        <v>1965</v>
      </c>
      <c r="G152" s="162">
        <f t="shared" ref="G152" si="37">G142+G151</f>
        <v>1965</v>
      </c>
      <c r="H152" s="162">
        <f t="shared" ref="H152" si="38">H142+H151</f>
        <v>1909</v>
      </c>
      <c r="I152" s="163">
        <f>SUM(H152-G152)</f>
        <v>-56</v>
      </c>
    </row>
    <row r="154" spans="1:9" ht="19.149999999999999" customHeight="1" x14ac:dyDescent="0.2">
      <c r="A154" s="244" t="s">
        <v>66</v>
      </c>
      <c r="B154" s="164" t="s">
        <v>20</v>
      </c>
      <c r="C154" s="165" t="s">
        <v>302</v>
      </c>
      <c r="D154" s="244" t="s">
        <v>19</v>
      </c>
      <c r="E154" s="166" t="s">
        <v>283</v>
      </c>
    </row>
    <row r="155" spans="1:9" ht="21" customHeight="1" x14ac:dyDescent="0.2">
      <c r="A155" s="244"/>
      <c r="B155" s="164" t="s">
        <v>21</v>
      </c>
      <c r="C155" s="165"/>
      <c r="D155" s="244"/>
      <c r="E155" s="166"/>
    </row>
    <row r="156" spans="1:9" ht="22.9" customHeight="1" x14ac:dyDescent="0.2">
      <c r="A156" s="244"/>
      <c r="B156" s="164" t="s">
        <v>22</v>
      </c>
      <c r="C156" s="165" t="str">
        <f>C114</f>
        <v>08.02.2022</v>
      </c>
      <c r="D156" s="244"/>
      <c r="E156" s="166" t="str">
        <f>E114</f>
        <v>08.02.2022</v>
      </c>
    </row>
    <row r="165" spans="1:9" ht="15.75" customHeight="1" x14ac:dyDescent="0.2">
      <c r="A165" s="150"/>
      <c r="B165" s="192"/>
      <c r="C165" s="138"/>
      <c r="D165" s="138"/>
      <c r="E165" s="138"/>
      <c r="F165" s="138"/>
      <c r="G165" s="138"/>
      <c r="H165" s="138"/>
      <c r="I165" s="179" t="s">
        <v>68</v>
      </c>
    </row>
    <row r="166" spans="1:9" ht="24.95" customHeight="1" thickBot="1" x14ac:dyDescent="0.25">
      <c r="A166" s="194" t="s">
        <v>25</v>
      </c>
      <c r="B166" s="195" t="s">
        <v>115</v>
      </c>
      <c r="C166" s="247"/>
      <c r="D166" s="247"/>
      <c r="E166" s="247"/>
      <c r="F166" s="247"/>
      <c r="G166" s="247"/>
      <c r="H166" s="180" t="s">
        <v>26</v>
      </c>
      <c r="I166" s="181">
        <v>2137001</v>
      </c>
    </row>
    <row r="167" spans="1:9" ht="24.95" customHeight="1" thickBot="1" x14ac:dyDescent="0.25">
      <c r="A167" s="196" t="s">
        <v>28</v>
      </c>
      <c r="B167" s="143" t="s">
        <v>96</v>
      </c>
      <c r="C167" s="248"/>
      <c r="D167" s="248"/>
      <c r="E167" s="248"/>
      <c r="F167" s="248"/>
      <c r="G167" s="248"/>
      <c r="H167" s="141" t="s">
        <v>69</v>
      </c>
      <c r="I167" s="167">
        <v>3280</v>
      </c>
    </row>
    <row r="168" spans="1:9" ht="24.95" customHeight="1" thickBot="1" x14ac:dyDescent="0.25">
      <c r="A168" s="197" t="s">
        <v>30</v>
      </c>
      <c r="B168" s="240" t="s">
        <v>17</v>
      </c>
      <c r="C168" s="145">
        <v>-1</v>
      </c>
      <c r="D168" s="145">
        <v>-2</v>
      </c>
      <c r="E168" s="145">
        <v>-3</v>
      </c>
      <c r="F168" s="146">
        <v>-4</v>
      </c>
      <c r="G168" s="146">
        <v>-5</v>
      </c>
      <c r="H168" s="146">
        <v>-6</v>
      </c>
      <c r="I168" s="168" t="s">
        <v>11</v>
      </c>
    </row>
    <row r="169" spans="1:9" ht="24.95" customHeight="1" x14ac:dyDescent="0.2">
      <c r="A169" s="197"/>
      <c r="B169" s="241"/>
      <c r="C169" s="148" t="s">
        <v>12</v>
      </c>
      <c r="D169" s="148" t="s">
        <v>13</v>
      </c>
      <c r="E169" s="148" t="s">
        <v>14</v>
      </c>
      <c r="F169" s="148" t="s">
        <v>14</v>
      </c>
      <c r="G169" s="148" t="s">
        <v>14</v>
      </c>
      <c r="H169" s="148" t="s">
        <v>31</v>
      </c>
      <c r="I169" s="184" t="s">
        <v>15</v>
      </c>
    </row>
    <row r="170" spans="1:9" ht="24.95" customHeight="1" x14ac:dyDescent="0.2">
      <c r="A170" s="197"/>
      <c r="B170" s="242"/>
      <c r="C170" s="128" t="s">
        <v>292</v>
      </c>
      <c r="D170" s="128" t="s">
        <v>293</v>
      </c>
      <c r="E170" s="128" t="s">
        <v>294</v>
      </c>
      <c r="F170" s="128" t="s">
        <v>116</v>
      </c>
      <c r="G170" s="150" t="s">
        <v>32</v>
      </c>
      <c r="H170" s="128" t="s">
        <v>33</v>
      </c>
      <c r="I170" s="186"/>
    </row>
    <row r="171" spans="1:9" ht="24.95" customHeight="1" x14ac:dyDescent="0.2">
      <c r="A171" s="198"/>
      <c r="B171" s="249"/>
      <c r="C171" s="190"/>
      <c r="D171" s="188"/>
      <c r="E171" s="188"/>
      <c r="F171" s="188"/>
      <c r="G171" s="189"/>
      <c r="H171" s="190" t="s">
        <v>34</v>
      </c>
      <c r="I171" s="191"/>
    </row>
    <row r="172" spans="1:9" ht="15" customHeight="1" thickBot="1" x14ac:dyDescent="0.25">
      <c r="A172" s="152">
        <v>600</v>
      </c>
      <c r="B172" s="153" t="s">
        <v>117</v>
      </c>
      <c r="C172" s="171">
        <v>10423</v>
      </c>
      <c r="D172" s="193">
        <v>10925</v>
      </c>
      <c r="E172" s="193">
        <v>10925</v>
      </c>
      <c r="F172" s="171">
        <v>10848</v>
      </c>
      <c r="G172" s="171">
        <v>10848</v>
      </c>
      <c r="H172" s="171">
        <v>10727</v>
      </c>
      <c r="I172" s="154">
        <f t="shared" ref="I172:I185" si="39">SUM(H172-G172)</f>
        <v>-121</v>
      </c>
    </row>
    <row r="173" spans="1:9" ht="15" customHeight="1" thickBot="1" x14ac:dyDescent="0.25">
      <c r="A173" s="152">
        <v>601</v>
      </c>
      <c r="B173" s="153" t="s">
        <v>118</v>
      </c>
      <c r="C173" s="142">
        <v>1738</v>
      </c>
      <c r="D173" s="159">
        <v>1824</v>
      </c>
      <c r="E173" s="159">
        <v>1824</v>
      </c>
      <c r="F173" s="142">
        <v>1824</v>
      </c>
      <c r="G173" s="142">
        <v>1824</v>
      </c>
      <c r="H173" s="142">
        <v>1779</v>
      </c>
      <c r="I173" s="154">
        <f t="shared" si="39"/>
        <v>-45</v>
      </c>
    </row>
    <row r="174" spans="1:9" ht="15" customHeight="1" thickBot="1" x14ac:dyDescent="0.25">
      <c r="A174" s="152">
        <v>602</v>
      </c>
      <c r="B174" s="153" t="s">
        <v>119</v>
      </c>
      <c r="C174" s="142">
        <f>1081+112</f>
        <v>1193</v>
      </c>
      <c r="D174" s="159">
        <v>2285</v>
      </c>
      <c r="E174" s="159">
        <v>2285</v>
      </c>
      <c r="F174" s="142">
        <v>2285</v>
      </c>
      <c r="G174" s="142">
        <v>2285</v>
      </c>
      <c r="H174" s="142">
        <v>2104</v>
      </c>
      <c r="I174" s="154">
        <f t="shared" si="39"/>
        <v>-181</v>
      </c>
    </row>
    <row r="175" spans="1:9" ht="15" customHeight="1" thickBot="1" x14ac:dyDescent="0.25">
      <c r="A175" s="152">
        <v>603</v>
      </c>
      <c r="B175" s="153" t="s">
        <v>120</v>
      </c>
      <c r="C175" s="142">
        <v>0</v>
      </c>
      <c r="D175" s="159">
        <v>0</v>
      </c>
      <c r="E175" s="159">
        <v>0</v>
      </c>
      <c r="F175" s="142"/>
      <c r="G175" s="142"/>
      <c r="H175" s="142"/>
      <c r="I175" s="154">
        <f t="shared" si="39"/>
        <v>0</v>
      </c>
    </row>
    <row r="176" spans="1:9" ht="15" customHeight="1" thickBot="1" x14ac:dyDescent="0.25">
      <c r="A176" s="152">
        <v>604</v>
      </c>
      <c r="B176" s="153" t="s">
        <v>121</v>
      </c>
      <c r="C176" s="142">
        <v>0</v>
      </c>
      <c r="D176" s="159">
        <v>0</v>
      </c>
      <c r="E176" s="159">
        <v>0</v>
      </c>
      <c r="F176" s="142"/>
      <c r="G176" s="142"/>
      <c r="H176" s="142"/>
      <c r="I176" s="154">
        <f t="shared" si="39"/>
        <v>0</v>
      </c>
    </row>
    <row r="177" spans="1:9" ht="15" customHeight="1" thickBot="1" x14ac:dyDescent="0.25">
      <c r="A177" s="152">
        <v>605</v>
      </c>
      <c r="B177" s="153" t="s">
        <v>122</v>
      </c>
      <c r="C177" s="142">
        <v>0</v>
      </c>
      <c r="D177" s="159"/>
      <c r="E177" s="159"/>
      <c r="F177" s="142"/>
      <c r="G177" s="142"/>
      <c r="H177" s="142"/>
      <c r="I177" s="154">
        <f t="shared" si="39"/>
        <v>0</v>
      </c>
    </row>
    <row r="178" spans="1:9" ht="15" customHeight="1" thickBot="1" x14ac:dyDescent="0.25">
      <c r="A178" s="152">
        <v>606</v>
      </c>
      <c r="B178" s="153" t="s">
        <v>70</v>
      </c>
      <c r="C178" s="142">
        <v>376</v>
      </c>
      <c r="D178" s="159">
        <v>330</v>
      </c>
      <c r="E178" s="159">
        <v>330</v>
      </c>
      <c r="F178" s="142">
        <v>646</v>
      </c>
      <c r="G178" s="142">
        <v>646</v>
      </c>
      <c r="H178" s="142">
        <v>621</v>
      </c>
      <c r="I178" s="154">
        <f t="shared" si="39"/>
        <v>-25</v>
      </c>
    </row>
    <row r="179" spans="1:9" ht="15" customHeight="1" thickBot="1" x14ac:dyDescent="0.25">
      <c r="A179" s="152">
        <v>609</v>
      </c>
      <c r="B179" s="153" t="s">
        <v>123</v>
      </c>
      <c r="C179" s="142">
        <v>0</v>
      </c>
      <c r="D179" s="159">
        <v>1649</v>
      </c>
      <c r="E179" s="159">
        <v>1649</v>
      </c>
      <c r="F179" s="142">
        <v>1409</v>
      </c>
      <c r="G179" s="142">
        <v>1409</v>
      </c>
      <c r="H179" s="142"/>
      <c r="I179" s="154">
        <f t="shared" si="39"/>
        <v>-1409</v>
      </c>
    </row>
    <row r="180" spans="1:9" ht="15" customHeight="1" thickBot="1" x14ac:dyDescent="0.25">
      <c r="A180" s="152">
        <v>650</v>
      </c>
      <c r="B180" s="153" t="s">
        <v>124</v>
      </c>
      <c r="C180" s="142">
        <v>0</v>
      </c>
      <c r="D180" s="159">
        <v>0</v>
      </c>
      <c r="E180" s="159">
        <v>0</v>
      </c>
      <c r="F180" s="142">
        <v>0</v>
      </c>
      <c r="G180" s="142">
        <v>0</v>
      </c>
      <c r="H180" s="142">
        <v>0</v>
      </c>
      <c r="I180" s="154">
        <f t="shared" si="39"/>
        <v>0</v>
      </c>
    </row>
    <row r="181" spans="1:9" ht="15" customHeight="1" thickBot="1" x14ac:dyDescent="0.25">
      <c r="A181" s="152" t="s">
        <v>71</v>
      </c>
      <c r="B181" s="153" t="s">
        <v>72</v>
      </c>
      <c r="C181" s="142">
        <v>0</v>
      </c>
      <c r="D181" s="159">
        <v>0</v>
      </c>
      <c r="E181" s="159">
        <v>0</v>
      </c>
      <c r="F181" s="142">
        <v>0</v>
      </c>
      <c r="G181" s="142">
        <v>0</v>
      </c>
      <c r="H181" s="142">
        <v>0</v>
      </c>
      <c r="I181" s="154">
        <f t="shared" si="39"/>
        <v>0</v>
      </c>
    </row>
    <row r="182" spans="1:9" ht="26.25" thickBot="1" x14ac:dyDescent="0.25">
      <c r="A182" s="156" t="s">
        <v>35</v>
      </c>
      <c r="B182" s="157" t="s">
        <v>73</v>
      </c>
      <c r="C182" s="158">
        <f t="shared" ref="C182:H182" si="40">SUM(C172:C181)</f>
        <v>13730</v>
      </c>
      <c r="D182" s="158">
        <f t="shared" si="40"/>
        <v>17013</v>
      </c>
      <c r="E182" s="158">
        <f t="shared" si="40"/>
        <v>17013</v>
      </c>
      <c r="F182" s="158">
        <f t="shared" si="40"/>
        <v>17012</v>
      </c>
      <c r="G182" s="158">
        <f t="shared" si="40"/>
        <v>17012</v>
      </c>
      <c r="H182" s="158">
        <f t="shared" si="40"/>
        <v>15231</v>
      </c>
      <c r="I182" s="154">
        <f t="shared" si="39"/>
        <v>-1781</v>
      </c>
    </row>
    <row r="183" spans="1:9" ht="15" customHeight="1" thickBot="1" x14ac:dyDescent="0.25">
      <c r="A183" s="152">
        <v>230</v>
      </c>
      <c r="B183" s="152" t="s">
        <v>74</v>
      </c>
      <c r="C183" s="142">
        <v>0</v>
      </c>
      <c r="D183" s="142">
        <v>0</v>
      </c>
      <c r="E183" s="142">
        <v>0</v>
      </c>
      <c r="F183" s="142">
        <v>0</v>
      </c>
      <c r="G183" s="142">
        <v>0</v>
      </c>
      <c r="H183" s="142">
        <v>0</v>
      </c>
      <c r="I183" s="154">
        <f t="shared" si="39"/>
        <v>0</v>
      </c>
    </row>
    <row r="184" spans="1:9" ht="15" customHeight="1" thickBot="1" x14ac:dyDescent="0.25">
      <c r="A184" s="152">
        <v>231</v>
      </c>
      <c r="B184" s="152" t="s">
        <v>125</v>
      </c>
      <c r="C184" s="142">
        <v>0</v>
      </c>
      <c r="D184" s="159">
        <v>3016</v>
      </c>
      <c r="E184" s="159">
        <v>3016</v>
      </c>
      <c r="F184" s="142">
        <v>3016</v>
      </c>
      <c r="G184" s="142">
        <v>3016</v>
      </c>
      <c r="H184" s="142">
        <v>347</v>
      </c>
      <c r="I184" s="154">
        <f t="shared" si="39"/>
        <v>-2669</v>
      </c>
    </row>
    <row r="185" spans="1:9" ht="15" customHeight="1" thickBot="1" x14ac:dyDescent="0.25">
      <c r="A185" s="152">
        <v>232</v>
      </c>
      <c r="B185" s="152" t="s">
        <v>75</v>
      </c>
      <c r="C185" s="142">
        <v>0</v>
      </c>
      <c r="D185" s="142">
        <v>0</v>
      </c>
      <c r="E185" s="142">
        <v>0</v>
      </c>
      <c r="F185" s="142">
        <v>0</v>
      </c>
      <c r="G185" s="142">
        <v>0</v>
      </c>
      <c r="H185" s="142">
        <v>0</v>
      </c>
      <c r="I185" s="154">
        <f t="shared" si="39"/>
        <v>0</v>
      </c>
    </row>
    <row r="186" spans="1:9" ht="21" customHeight="1" thickBot="1" x14ac:dyDescent="0.25">
      <c r="A186" s="156" t="s">
        <v>35</v>
      </c>
      <c r="B186" s="157" t="s">
        <v>76</v>
      </c>
      <c r="C186" s="158">
        <f t="shared" ref="C186:H186" si="41">SUM(C183:C185)</f>
        <v>0</v>
      </c>
      <c r="D186" s="158">
        <f t="shared" si="41"/>
        <v>3016</v>
      </c>
      <c r="E186" s="158">
        <f t="shared" si="41"/>
        <v>3016</v>
      </c>
      <c r="F186" s="158">
        <f t="shared" si="41"/>
        <v>3016</v>
      </c>
      <c r="G186" s="158">
        <f t="shared" si="41"/>
        <v>3016</v>
      </c>
      <c r="H186" s="158">
        <f t="shared" si="41"/>
        <v>347</v>
      </c>
      <c r="I186" s="154">
        <f>SUM(H183-G185)</f>
        <v>0</v>
      </c>
    </row>
    <row r="187" spans="1:9" ht="15" customHeight="1" thickBot="1" x14ac:dyDescent="0.25">
      <c r="A187" s="152">
        <v>230</v>
      </c>
      <c r="B187" s="152" t="s">
        <v>74</v>
      </c>
      <c r="C187" s="142">
        <v>0</v>
      </c>
      <c r="D187" s="142">
        <v>0</v>
      </c>
      <c r="E187" s="142">
        <v>0</v>
      </c>
      <c r="F187" s="142">
        <v>0</v>
      </c>
      <c r="G187" s="142">
        <v>0</v>
      </c>
      <c r="H187" s="142">
        <v>0</v>
      </c>
      <c r="I187" s="154">
        <f>SUM(H187-G187)</f>
        <v>0</v>
      </c>
    </row>
    <row r="188" spans="1:9" ht="15" customHeight="1" thickBot="1" x14ac:dyDescent="0.25">
      <c r="A188" s="152">
        <v>231</v>
      </c>
      <c r="B188" s="152" t="s">
        <v>125</v>
      </c>
      <c r="C188" s="142">
        <v>0</v>
      </c>
      <c r="D188" s="142">
        <v>0</v>
      </c>
      <c r="E188" s="142">
        <v>0</v>
      </c>
      <c r="F188" s="142">
        <v>0</v>
      </c>
      <c r="G188" s="142">
        <v>0</v>
      </c>
      <c r="H188" s="142">
        <v>0</v>
      </c>
      <c r="I188" s="154">
        <f>SUM(H188-G188)</f>
        <v>0</v>
      </c>
    </row>
    <row r="189" spans="1:9" ht="15" customHeight="1" thickBot="1" x14ac:dyDescent="0.25">
      <c r="A189" s="152">
        <v>232</v>
      </c>
      <c r="B189" s="152" t="s">
        <v>75</v>
      </c>
      <c r="C189" s="142">
        <v>0</v>
      </c>
      <c r="D189" s="142">
        <v>0</v>
      </c>
      <c r="E189" s="142">
        <v>0</v>
      </c>
      <c r="F189" s="142">
        <v>0</v>
      </c>
      <c r="G189" s="142">
        <v>0</v>
      </c>
      <c r="H189" s="142">
        <v>0</v>
      </c>
      <c r="I189" s="154">
        <f>SUM(H189-G189)</f>
        <v>0</v>
      </c>
    </row>
    <row r="190" spans="1:9" ht="20.45" customHeight="1" thickBot="1" x14ac:dyDescent="0.25">
      <c r="A190" s="156" t="s">
        <v>35</v>
      </c>
      <c r="B190" s="157" t="s">
        <v>36</v>
      </c>
      <c r="C190" s="158">
        <f t="shared" ref="C190:H190" si="42">SUM(C187:C189)</f>
        <v>0</v>
      </c>
      <c r="D190" s="158">
        <f t="shared" si="42"/>
        <v>0</v>
      </c>
      <c r="E190" s="158">
        <f t="shared" si="42"/>
        <v>0</v>
      </c>
      <c r="F190" s="158">
        <f t="shared" si="42"/>
        <v>0</v>
      </c>
      <c r="G190" s="158">
        <f t="shared" si="42"/>
        <v>0</v>
      </c>
      <c r="H190" s="158">
        <f t="shared" si="42"/>
        <v>0</v>
      </c>
      <c r="I190" s="154">
        <f>SUM(H187-G189)</f>
        <v>0</v>
      </c>
    </row>
    <row r="191" spans="1:9" ht="13.5" thickBot="1" x14ac:dyDescent="0.25">
      <c r="A191" s="156" t="s">
        <v>37</v>
      </c>
      <c r="B191" s="160" t="s">
        <v>38</v>
      </c>
      <c r="C191" s="161">
        <f>C186+C190</f>
        <v>0</v>
      </c>
      <c r="D191" s="161">
        <f t="shared" ref="D191" si="43">D186+D190</f>
        <v>3016</v>
      </c>
      <c r="E191" s="161">
        <f t="shared" ref="E191" si="44">E186+E190</f>
        <v>3016</v>
      </c>
      <c r="F191" s="161">
        <f t="shared" ref="F191" si="45">F186+F190</f>
        <v>3016</v>
      </c>
      <c r="G191" s="161">
        <f t="shared" ref="G191" si="46">G186+G190</f>
        <v>3016</v>
      </c>
      <c r="H191" s="161">
        <f t="shared" ref="H191" si="47">H186+H190</f>
        <v>347</v>
      </c>
      <c r="I191" s="154">
        <f>SUM(H191-G191)</f>
        <v>-2669</v>
      </c>
    </row>
    <row r="192" spans="1:9" ht="13.5" thickBot="1" x14ac:dyDescent="0.25">
      <c r="A192" s="245" t="s">
        <v>77</v>
      </c>
      <c r="B192" s="246"/>
      <c r="C192" s="162">
        <f t="shared" ref="C192" si="48">C182+C186</f>
        <v>13730</v>
      </c>
      <c r="D192" s="162">
        <f>D182+D186</f>
        <v>20029</v>
      </c>
      <c r="E192" s="162">
        <f t="shared" ref="E192" si="49">E182+E186</f>
        <v>20029</v>
      </c>
      <c r="F192" s="162">
        <f t="shared" ref="F192" si="50">F182+F186</f>
        <v>20028</v>
      </c>
      <c r="G192" s="162">
        <f t="shared" ref="G192" si="51">G182+G186</f>
        <v>20028</v>
      </c>
      <c r="H192" s="162">
        <f t="shared" ref="H192" si="52">H182+H186</f>
        <v>15578</v>
      </c>
      <c r="I192" s="163">
        <f>SUM(H192-G192)</f>
        <v>-4450</v>
      </c>
    </row>
    <row r="194" spans="1:9" ht="19.149999999999999" customHeight="1" x14ac:dyDescent="0.2">
      <c r="A194" s="244" t="s">
        <v>66</v>
      </c>
      <c r="B194" s="164" t="s">
        <v>20</v>
      </c>
      <c r="C194" s="165" t="s">
        <v>302</v>
      </c>
      <c r="D194" s="244" t="s">
        <v>19</v>
      </c>
      <c r="E194" s="166" t="s">
        <v>283</v>
      </c>
    </row>
    <row r="195" spans="1:9" ht="21" customHeight="1" x14ac:dyDescent="0.2">
      <c r="A195" s="244"/>
      <c r="B195" s="164" t="s">
        <v>21</v>
      </c>
      <c r="C195" s="165"/>
      <c r="D195" s="244"/>
      <c r="E195" s="166"/>
    </row>
    <row r="196" spans="1:9" ht="22.9" customHeight="1" x14ac:dyDescent="0.2">
      <c r="A196" s="244"/>
      <c r="B196" s="164" t="s">
        <v>22</v>
      </c>
      <c r="C196" s="165" t="str">
        <f>C156</f>
        <v>08.02.2022</v>
      </c>
      <c r="D196" s="244"/>
      <c r="E196" s="166" t="str">
        <f>E156</f>
        <v>08.02.2022</v>
      </c>
    </row>
    <row r="207" spans="1:9" ht="24.95" customHeight="1" x14ac:dyDescent="0.2">
      <c r="A207" s="150"/>
      <c r="B207" s="192"/>
      <c r="C207" s="138"/>
      <c r="D207" s="138"/>
      <c r="E207" s="138"/>
      <c r="F207" s="138"/>
      <c r="G207" s="138"/>
      <c r="H207" s="138"/>
      <c r="I207" s="179" t="s">
        <v>68</v>
      </c>
    </row>
    <row r="208" spans="1:9" ht="24.95" customHeight="1" thickBot="1" x14ac:dyDescent="0.25">
      <c r="A208" s="194" t="s">
        <v>25</v>
      </c>
      <c r="B208" s="195" t="s">
        <v>115</v>
      </c>
      <c r="C208" s="247"/>
      <c r="D208" s="247"/>
      <c r="E208" s="247"/>
      <c r="F208" s="247"/>
      <c r="G208" s="247"/>
      <c r="H208" s="180" t="s">
        <v>26</v>
      </c>
      <c r="I208" s="181">
        <v>2137001</v>
      </c>
    </row>
    <row r="209" spans="1:9" ht="24.95" customHeight="1" thickBot="1" x14ac:dyDescent="0.25">
      <c r="A209" s="196" t="s">
        <v>28</v>
      </c>
      <c r="B209" s="143" t="s">
        <v>97</v>
      </c>
      <c r="C209" s="248"/>
      <c r="D209" s="248"/>
      <c r="E209" s="248"/>
      <c r="F209" s="248"/>
      <c r="G209" s="248"/>
      <c r="H209" s="141" t="s">
        <v>69</v>
      </c>
      <c r="I209" s="167">
        <v>4130</v>
      </c>
    </row>
    <row r="210" spans="1:9" ht="24.95" customHeight="1" thickBot="1" x14ac:dyDescent="0.25">
      <c r="A210" s="197" t="s">
        <v>30</v>
      </c>
      <c r="B210" s="240" t="s">
        <v>17</v>
      </c>
      <c r="C210" s="145">
        <v>-1</v>
      </c>
      <c r="D210" s="145">
        <v>-2</v>
      </c>
      <c r="E210" s="145">
        <v>-3</v>
      </c>
      <c r="F210" s="146">
        <v>-4</v>
      </c>
      <c r="G210" s="146">
        <v>-5</v>
      </c>
      <c r="H210" s="146">
        <v>-6</v>
      </c>
      <c r="I210" s="168" t="s">
        <v>11</v>
      </c>
    </row>
    <row r="211" spans="1:9" ht="24.95" customHeight="1" x14ac:dyDescent="0.2">
      <c r="A211" s="197"/>
      <c r="B211" s="241"/>
      <c r="C211" s="148" t="s">
        <v>12</v>
      </c>
      <c r="D211" s="148" t="s">
        <v>13</v>
      </c>
      <c r="E211" s="148" t="s">
        <v>14</v>
      </c>
      <c r="F211" s="148" t="s">
        <v>14</v>
      </c>
      <c r="G211" s="148" t="s">
        <v>14</v>
      </c>
      <c r="H211" s="148" t="s">
        <v>31</v>
      </c>
      <c r="I211" s="184" t="s">
        <v>15</v>
      </c>
    </row>
    <row r="212" spans="1:9" ht="24.95" customHeight="1" x14ac:dyDescent="0.2">
      <c r="A212" s="197"/>
      <c r="B212" s="242"/>
      <c r="C212" s="128" t="s">
        <v>292</v>
      </c>
      <c r="D212" s="128" t="s">
        <v>293</v>
      </c>
      <c r="E212" s="128" t="s">
        <v>294</v>
      </c>
      <c r="F212" s="128" t="s">
        <v>116</v>
      </c>
      <c r="G212" s="150" t="s">
        <v>32</v>
      </c>
      <c r="H212" s="128" t="s">
        <v>33</v>
      </c>
      <c r="I212" s="186"/>
    </row>
    <row r="213" spans="1:9" ht="24.95" customHeight="1" x14ac:dyDescent="0.2">
      <c r="A213" s="198"/>
      <c r="B213" s="249"/>
      <c r="C213" s="190"/>
      <c r="D213" s="188"/>
      <c r="E213" s="188"/>
      <c r="F213" s="188"/>
      <c r="G213" s="189"/>
      <c r="H213" s="190" t="s">
        <v>34</v>
      </c>
      <c r="I213" s="191"/>
    </row>
    <row r="214" spans="1:9" ht="15" customHeight="1" thickBot="1" x14ac:dyDescent="0.25">
      <c r="A214" s="152">
        <v>600</v>
      </c>
      <c r="B214" s="153" t="s">
        <v>117</v>
      </c>
      <c r="C214" s="171">
        <v>1256</v>
      </c>
      <c r="D214" s="193">
        <v>1264</v>
      </c>
      <c r="E214" s="193">
        <v>1264</v>
      </c>
      <c r="F214" s="171">
        <v>1264</v>
      </c>
      <c r="G214" s="171">
        <v>1264</v>
      </c>
      <c r="H214" s="171">
        <v>981</v>
      </c>
      <c r="I214" s="154">
        <f t="shared" ref="I214:I227" si="53">SUM(H214-G214)</f>
        <v>-283</v>
      </c>
    </row>
    <row r="215" spans="1:9" ht="15" customHeight="1" thickBot="1" x14ac:dyDescent="0.25">
      <c r="A215" s="152">
        <v>601</v>
      </c>
      <c r="B215" s="153" t="s">
        <v>118</v>
      </c>
      <c r="C215" s="142">
        <v>210</v>
      </c>
      <c r="D215" s="159">
        <v>211</v>
      </c>
      <c r="E215" s="159">
        <v>211</v>
      </c>
      <c r="F215" s="142">
        <v>211</v>
      </c>
      <c r="G215" s="142">
        <v>211</v>
      </c>
      <c r="H215" s="142">
        <v>164</v>
      </c>
      <c r="I215" s="154">
        <f t="shared" si="53"/>
        <v>-47</v>
      </c>
    </row>
    <row r="216" spans="1:9" ht="15" customHeight="1" thickBot="1" x14ac:dyDescent="0.25">
      <c r="A216" s="152">
        <v>602</v>
      </c>
      <c r="B216" s="153" t="s">
        <v>119</v>
      </c>
      <c r="C216" s="142">
        <v>86</v>
      </c>
      <c r="D216" s="159">
        <v>50</v>
      </c>
      <c r="E216" s="159">
        <v>50</v>
      </c>
      <c r="F216" s="142">
        <v>50</v>
      </c>
      <c r="G216" s="142">
        <v>50</v>
      </c>
      <c r="H216" s="142">
        <v>50</v>
      </c>
      <c r="I216" s="154">
        <f t="shared" si="53"/>
        <v>0</v>
      </c>
    </row>
    <row r="217" spans="1:9" ht="15" customHeight="1" thickBot="1" x14ac:dyDescent="0.25">
      <c r="A217" s="152">
        <v>603</v>
      </c>
      <c r="B217" s="153" t="s">
        <v>120</v>
      </c>
      <c r="C217" s="142">
        <v>0</v>
      </c>
      <c r="D217" s="142"/>
      <c r="E217" s="142"/>
      <c r="F217" s="142"/>
      <c r="G217" s="142"/>
      <c r="H217" s="142"/>
      <c r="I217" s="154">
        <f t="shared" si="53"/>
        <v>0</v>
      </c>
    </row>
    <row r="218" spans="1:9" ht="15" customHeight="1" thickBot="1" x14ac:dyDescent="0.25">
      <c r="A218" s="152">
        <v>604</v>
      </c>
      <c r="B218" s="153" t="s">
        <v>121</v>
      </c>
      <c r="C218" s="142">
        <v>0</v>
      </c>
      <c r="D218" s="142"/>
      <c r="E218" s="142"/>
      <c r="F218" s="142"/>
      <c r="G218" s="142"/>
      <c r="H218" s="142"/>
      <c r="I218" s="154">
        <f t="shared" si="53"/>
        <v>0</v>
      </c>
    </row>
    <row r="219" spans="1:9" ht="15" customHeight="1" thickBot="1" x14ac:dyDescent="0.25">
      <c r="A219" s="152">
        <v>605</v>
      </c>
      <c r="B219" s="153" t="s">
        <v>122</v>
      </c>
      <c r="C219" s="142">
        <v>0</v>
      </c>
      <c r="D219" s="142"/>
      <c r="E219" s="142"/>
      <c r="F219" s="142"/>
      <c r="G219" s="142"/>
      <c r="H219" s="142"/>
      <c r="I219" s="154">
        <f t="shared" si="53"/>
        <v>0</v>
      </c>
    </row>
    <row r="220" spans="1:9" ht="15" customHeight="1" thickBot="1" x14ac:dyDescent="0.25">
      <c r="A220" s="152">
        <v>606</v>
      </c>
      <c r="B220" s="153" t="s">
        <v>70</v>
      </c>
      <c r="C220" s="142">
        <v>0</v>
      </c>
      <c r="D220" s="142"/>
      <c r="E220" s="142"/>
      <c r="F220" s="142"/>
      <c r="G220" s="142"/>
      <c r="H220" s="142"/>
      <c r="I220" s="154">
        <f t="shared" si="53"/>
        <v>0</v>
      </c>
    </row>
    <row r="221" spans="1:9" ht="15" customHeight="1" thickBot="1" x14ac:dyDescent="0.25">
      <c r="A221" s="152">
        <v>609</v>
      </c>
      <c r="B221" s="153" t="s">
        <v>123</v>
      </c>
      <c r="C221" s="142">
        <v>0</v>
      </c>
      <c r="D221" s="142"/>
      <c r="E221" s="142"/>
      <c r="F221" s="142"/>
      <c r="G221" s="142"/>
      <c r="H221" s="142"/>
      <c r="I221" s="154">
        <f t="shared" si="53"/>
        <v>0</v>
      </c>
    </row>
    <row r="222" spans="1:9" ht="15" customHeight="1" thickBot="1" x14ac:dyDescent="0.25">
      <c r="A222" s="152">
        <v>650</v>
      </c>
      <c r="B222" s="153" t="s">
        <v>124</v>
      </c>
      <c r="C222" s="142">
        <v>0</v>
      </c>
      <c r="D222" s="142">
        <v>0</v>
      </c>
      <c r="E222" s="142">
        <v>0</v>
      </c>
      <c r="F222" s="142">
        <v>0</v>
      </c>
      <c r="G222" s="142">
        <v>0</v>
      </c>
      <c r="H222" s="142">
        <v>0</v>
      </c>
      <c r="I222" s="154">
        <f t="shared" si="53"/>
        <v>0</v>
      </c>
    </row>
    <row r="223" spans="1:9" ht="15" customHeight="1" thickBot="1" x14ac:dyDescent="0.25">
      <c r="A223" s="152" t="s">
        <v>71</v>
      </c>
      <c r="B223" s="153" t="s">
        <v>72</v>
      </c>
      <c r="C223" s="142">
        <v>0</v>
      </c>
      <c r="D223" s="142">
        <v>0</v>
      </c>
      <c r="E223" s="142">
        <v>0</v>
      </c>
      <c r="F223" s="142">
        <v>0</v>
      </c>
      <c r="G223" s="142">
        <v>0</v>
      </c>
      <c r="H223" s="142">
        <v>0</v>
      </c>
      <c r="I223" s="154">
        <f t="shared" si="53"/>
        <v>0</v>
      </c>
    </row>
    <row r="224" spans="1:9" ht="26.25" thickBot="1" x14ac:dyDescent="0.25">
      <c r="A224" s="156" t="s">
        <v>35</v>
      </c>
      <c r="B224" s="157" t="s">
        <v>73</v>
      </c>
      <c r="C224" s="158">
        <f>SUM(C214:C223)</f>
        <v>1552</v>
      </c>
      <c r="D224" s="158">
        <f t="shared" ref="D224" si="54">SUM(D214:D223)</f>
        <v>1525</v>
      </c>
      <c r="E224" s="158">
        <f t="shared" ref="E224" si="55">SUM(E214:E223)</f>
        <v>1525</v>
      </c>
      <c r="F224" s="158">
        <f t="shared" ref="F224" si="56">SUM(F214:F223)</f>
        <v>1525</v>
      </c>
      <c r="G224" s="158">
        <f t="shared" ref="G224" si="57">SUM(G214:G223)</f>
        <v>1525</v>
      </c>
      <c r="H224" s="158">
        <f t="shared" ref="H224" si="58">SUM(H214:H223)</f>
        <v>1195</v>
      </c>
      <c r="I224" s="154">
        <f t="shared" si="53"/>
        <v>-330</v>
      </c>
    </row>
    <row r="225" spans="1:9" ht="15" customHeight="1" thickBot="1" x14ac:dyDescent="0.25">
      <c r="A225" s="152">
        <v>230</v>
      </c>
      <c r="B225" s="152" t="s">
        <v>74</v>
      </c>
      <c r="C225" s="142">
        <v>0</v>
      </c>
      <c r="D225" s="142">
        <v>0</v>
      </c>
      <c r="E225" s="142">
        <v>0</v>
      </c>
      <c r="F225" s="142">
        <v>0</v>
      </c>
      <c r="G225" s="142">
        <v>0</v>
      </c>
      <c r="H225" s="142">
        <v>0</v>
      </c>
      <c r="I225" s="154">
        <f t="shared" si="53"/>
        <v>0</v>
      </c>
    </row>
    <row r="226" spans="1:9" ht="15" customHeight="1" thickBot="1" x14ac:dyDescent="0.25">
      <c r="A226" s="152">
        <v>231</v>
      </c>
      <c r="B226" s="152" t="s">
        <v>125</v>
      </c>
      <c r="C226" s="142">
        <v>0</v>
      </c>
      <c r="D226" s="142">
        <v>0</v>
      </c>
      <c r="E226" s="142">
        <v>0</v>
      </c>
      <c r="F226" s="142">
        <v>0</v>
      </c>
      <c r="G226" s="142">
        <v>0</v>
      </c>
      <c r="H226" s="142">
        <v>0</v>
      </c>
      <c r="I226" s="154">
        <f t="shared" si="53"/>
        <v>0</v>
      </c>
    </row>
    <row r="227" spans="1:9" ht="15" customHeight="1" thickBot="1" x14ac:dyDescent="0.25">
      <c r="A227" s="152">
        <v>232</v>
      </c>
      <c r="B227" s="152" t="s">
        <v>75</v>
      </c>
      <c r="C227" s="142">
        <v>0</v>
      </c>
      <c r="D227" s="142">
        <v>0</v>
      </c>
      <c r="E227" s="142">
        <v>0</v>
      </c>
      <c r="F227" s="142">
        <v>0</v>
      </c>
      <c r="G227" s="142">
        <v>0</v>
      </c>
      <c r="H227" s="142">
        <v>0</v>
      </c>
      <c r="I227" s="154">
        <f t="shared" si="53"/>
        <v>0</v>
      </c>
    </row>
    <row r="228" spans="1:9" ht="21" customHeight="1" thickBot="1" x14ac:dyDescent="0.25">
      <c r="A228" s="156" t="s">
        <v>35</v>
      </c>
      <c r="B228" s="157" t="s">
        <v>76</v>
      </c>
      <c r="C228" s="158">
        <f t="shared" ref="C228:H228" si="59">SUM(C225:C227)</f>
        <v>0</v>
      </c>
      <c r="D228" s="158">
        <f t="shared" si="59"/>
        <v>0</v>
      </c>
      <c r="E228" s="158">
        <f t="shared" si="59"/>
        <v>0</v>
      </c>
      <c r="F228" s="158">
        <f t="shared" si="59"/>
        <v>0</v>
      </c>
      <c r="G228" s="158">
        <f t="shared" si="59"/>
        <v>0</v>
      </c>
      <c r="H228" s="158">
        <f t="shared" si="59"/>
        <v>0</v>
      </c>
      <c r="I228" s="154">
        <f>SUM(H225-G227)</f>
        <v>0</v>
      </c>
    </row>
    <row r="229" spans="1:9" ht="15" customHeight="1" thickBot="1" x14ac:dyDescent="0.25">
      <c r="A229" s="152">
        <v>230</v>
      </c>
      <c r="B229" s="152" t="s">
        <v>74</v>
      </c>
      <c r="C229" s="142">
        <v>0</v>
      </c>
      <c r="D229" s="142">
        <v>0</v>
      </c>
      <c r="E229" s="142">
        <v>0</v>
      </c>
      <c r="F229" s="142">
        <v>0</v>
      </c>
      <c r="G229" s="142">
        <v>0</v>
      </c>
      <c r="H229" s="142">
        <v>0</v>
      </c>
      <c r="I229" s="154">
        <f>SUM(H229-G229)</f>
        <v>0</v>
      </c>
    </row>
    <row r="230" spans="1:9" ht="15" customHeight="1" thickBot="1" x14ac:dyDescent="0.25">
      <c r="A230" s="152">
        <v>231</v>
      </c>
      <c r="B230" s="152" t="s">
        <v>125</v>
      </c>
      <c r="C230" s="142">
        <v>0</v>
      </c>
      <c r="D230" s="142">
        <v>0</v>
      </c>
      <c r="E230" s="142">
        <v>0</v>
      </c>
      <c r="F230" s="142">
        <v>0</v>
      </c>
      <c r="G230" s="142">
        <v>0</v>
      </c>
      <c r="H230" s="142">
        <v>0</v>
      </c>
      <c r="I230" s="154">
        <f>SUM(H230-G230)</f>
        <v>0</v>
      </c>
    </row>
    <row r="231" spans="1:9" ht="15" customHeight="1" thickBot="1" x14ac:dyDescent="0.25">
      <c r="A231" s="152">
        <v>232</v>
      </c>
      <c r="B231" s="152" t="s">
        <v>75</v>
      </c>
      <c r="C231" s="142">
        <v>0</v>
      </c>
      <c r="D231" s="142">
        <v>0</v>
      </c>
      <c r="E231" s="142">
        <v>0</v>
      </c>
      <c r="F231" s="142">
        <v>0</v>
      </c>
      <c r="G231" s="142">
        <v>0</v>
      </c>
      <c r="H231" s="142">
        <v>0</v>
      </c>
      <c r="I231" s="154">
        <f>SUM(H231-G231)</f>
        <v>0</v>
      </c>
    </row>
    <row r="232" spans="1:9" ht="20.45" customHeight="1" thickBot="1" x14ac:dyDescent="0.25">
      <c r="A232" s="156" t="s">
        <v>35</v>
      </c>
      <c r="B232" s="157" t="s">
        <v>36</v>
      </c>
      <c r="C232" s="158">
        <f t="shared" ref="C232:H232" si="60">SUM(C229:C231)</f>
        <v>0</v>
      </c>
      <c r="D232" s="158">
        <f t="shared" si="60"/>
        <v>0</v>
      </c>
      <c r="E232" s="158">
        <f t="shared" si="60"/>
        <v>0</v>
      </c>
      <c r="F232" s="158">
        <f t="shared" si="60"/>
        <v>0</v>
      </c>
      <c r="G232" s="158">
        <f t="shared" si="60"/>
        <v>0</v>
      </c>
      <c r="H232" s="158">
        <f t="shared" si="60"/>
        <v>0</v>
      </c>
      <c r="I232" s="154">
        <f>SUM(H229-G231)</f>
        <v>0</v>
      </c>
    </row>
    <row r="233" spans="1:9" ht="13.5" thickBot="1" x14ac:dyDescent="0.25">
      <c r="A233" s="156" t="s">
        <v>37</v>
      </c>
      <c r="B233" s="160" t="s">
        <v>38</v>
      </c>
      <c r="C233" s="161">
        <v>0</v>
      </c>
      <c r="D233" s="161">
        <v>0</v>
      </c>
      <c r="E233" s="161">
        <v>0</v>
      </c>
      <c r="F233" s="161">
        <v>0</v>
      </c>
      <c r="G233" s="161">
        <v>0</v>
      </c>
      <c r="H233" s="161">
        <v>0</v>
      </c>
      <c r="I233" s="154">
        <f>SUM(H233-G233)</f>
        <v>0</v>
      </c>
    </row>
    <row r="234" spans="1:9" ht="13.5" thickBot="1" x14ac:dyDescent="0.25">
      <c r="A234" s="245" t="s">
        <v>77</v>
      </c>
      <c r="B234" s="246"/>
      <c r="C234" s="162">
        <f>C224+C233</f>
        <v>1552</v>
      </c>
      <c r="D234" s="162">
        <f t="shared" ref="D234" si="61">D224+D233</f>
        <v>1525</v>
      </c>
      <c r="E234" s="162">
        <f t="shared" ref="E234" si="62">E224+E233</f>
        <v>1525</v>
      </c>
      <c r="F234" s="162">
        <f t="shared" ref="F234" si="63">F224+F233</f>
        <v>1525</v>
      </c>
      <c r="G234" s="162">
        <f t="shared" ref="G234" si="64">G224+G233</f>
        <v>1525</v>
      </c>
      <c r="H234" s="162">
        <f t="shared" ref="H234" si="65">H224+H233</f>
        <v>1195</v>
      </c>
      <c r="I234" s="163">
        <f>SUM(H234-G234)</f>
        <v>-330</v>
      </c>
    </row>
    <row r="236" spans="1:9" ht="19.149999999999999" customHeight="1" x14ac:dyDescent="0.2">
      <c r="A236" s="244" t="s">
        <v>66</v>
      </c>
      <c r="B236" s="164" t="s">
        <v>20</v>
      </c>
      <c r="C236" s="165" t="s">
        <v>302</v>
      </c>
      <c r="D236" s="244" t="s">
        <v>19</v>
      </c>
      <c r="E236" s="166" t="s">
        <v>283</v>
      </c>
    </row>
    <row r="237" spans="1:9" ht="21" customHeight="1" x14ac:dyDescent="0.2">
      <c r="A237" s="244"/>
      <c r="B237" s="164" t="s">
        <v>21</v>
      </c>
      <c r="C237" s="165"/>
      <c r="D237" s="244"/>
      <c r="E237" s="166"/>
    </row>
    <row r="238" spans="1:9" ht="22.9" customHeight="1" x14ac:dyDescent="0.2">
      <c r="A238" s="244"/>
      <c r="B238" s="164" t="s">
        <v>22</v>
      </c>
      <c r="C238" s="165" t="str">
        <f>C196</f>
        <v>08.02.2022</v>
      </c>
      <c r="D238" s="244"/>
      <c r="E238" s="166" t="str">
        <f>E196</f>
        <v>08.02.2022</v>
      </c>
    </row>
    <row r="248" spans="1:9" ht="15.75" customHeight="1" x14ac:dyDescent="0.2">
      <c r="A248" s="150"/>
      <c r="B248" s="192"/>
      <c r="C248" s="138"/>
      <c r="D248" s="138"/>
      <c r="E248" s="138"/>
      <c r="F248" s="138"/>
      <c r="G248" s="138"/>
      <c r="H248" s="138"/>
      <c r="I248" s="179" t="s">
        <v>68</v>
      </c>
    </row>
    <row r="249" spans="1:9" ht="24.95" customHeight="1" thickBot="1" x14ac:dyDescent="0.25">
      <c r="A249" s="194" t="s">
        <v>25</v>
      </c>
      <c r="B249" s="195" t="s">
        <v>115</v>
      </c>
      <c r="C249" s="247"/>
      <c r="D249" s="247"/>
      <c r="E249" s="247"/>
      <c r="F249" s="247"/>
      <c r="G249" s="247"/>
      <c r="H249" s="180" t="s">
        <v>26</v>
      </c>
      <c r="I249" s="181">
        <v>2137001</v>
      </c>
    </row>
    <row r="250" spans="1:9" ht="24.95" customHeight="1" thickBot="1" x14ac:dyDescent="0.25">
      <c r="A250" s="196" t="s">
        <v>28</v>
      </c>
      <c r="B250" s="143" t="s">
        <v>98</v>
      </c>
      <c r="C250" s="248"/>
      <c r="D250" s="248"/>
      <c r="E250" s="248"/>
      <c r="F250" s="248"/>
      <c r="G250" s="248"/>
      <c r="H250" s="141" t="s">
        <v>69</v>
      </c>
      <c r="I250" s="167">
        <v>4260</v>
      </c>
    </row>
    <row r="251" spans="1:9" ht="24.95" customHeight="1" thickBot="1" x14ac:dyDescent="0.25">
      <c r="A251" s="197" t="s">
        <v>30</v>
      </c>
      <c r="B251" s="240" t="s">
        <v>17</v>
      </c>
      <c r="C251" s="145">
        <v>-1</v>
      </c>
      <c r="D251" s="145">
        <v>-2</v>
      </c>
      <c r="E251" s="145">
        <v>-3</v>
      </c>
      <c r="F251" s="146">
        <v>-4</v>
      </c>
      <c r="G251" s="146">
        <v>-5</v>
      </c>
      <c r="H251" s="146">
        <v>-6</v>
      </c>
      <c r="I251" s="168" t="s">
        <v>11</v>
      </c>
    </row>
    <row r="252" spans="1:9" ht="24.95" customHeight="1" x14ac:dyDescent="0.2">
      <c r="A252" s="197"/>
      <c r="B252" s="241"/>
      <c r="C252" s="148" t="s">
        <v>12</v>
      </c>
      <c r="D252" s="148" t="s">
        <v>13</v>
      </c>
      <c r="E252" s="148" t="s">
        <v>14</v>
      </c>
      <c r="F252" s="148" t="s">
        <v>14</v>
      </c>
      <c r="G252" s="148" t="s">
        <v>14</v>
      </c>
      <c r="H252" s="148" t="s">
        <v>31</v>
      </c>
      <c r="I252" s="184" t="s">
        <v>15</v>
      </c>
    </row>
    <row r="253" spans="1:9" ht="24.95" customHeight="1" x14ac:dyDescent="0.2">
      <c r="A253" s="197"/>
      <c r="B253" s="242"/>
      <c r="C253" s="128" t="s">
        <v>292</v>
      </c>
      <c r="D253" s="128" t="s">
        <v>293</v>
      </c>
      <c r="E253" s="128" t="s">
        <v>294</v>
      </c>
      <c r="F253" s="128" t="s">
        <v>116</v>
      </c>
      <c r="G253" s="150" t="s">
        <v>32</v>
      </c>
      <c r="H253" s="128" t="s">
        <v>33</v>
      </c>
      <c r="I253" s="186"/>
    </row>
    <row r="254" spans="1:9" ht="24.95" customHeight="1" x14ac:dyDescent="0.2">
      <c r="A254" s="198"/>
      <c r="B254" s="249"/>
      <c r="C254" s="190"/>
      <c r="D254" s="188"/>
      <c r="E254" s="188"/>
      <c r="F254" s="188"/>
      <c r="G254" s="189"/>
      <c r="H254" s="190" t="s">
        <v>34</v>
      </c>
      <c r="I254" s="191"/>
    </row>
    <row r="255" spans="1:9" ht="15" customHeight="1" thickBot="1" x14ac:dyDescent="0.25">
      <c r="A255" s="152">
        <v>600</v>
      </c>
      <c r="B255" s="153" t="s">
        <v>117</v>
      </c>
      <c r="C255" s="171">
        <v>8170</v>
      </c>
      <c r="D255" s="193">
        <v>8592</v>
      </c>
      <c r="E255" s="193">
        <v>8592</v>
      </c>
      <c r="F255" s="171">
        <f>8532</f>
        <v>8532</v>
      </c>
      <c r="G255" s="171">
        <f>8532</f>
        <v>8532</v>
      </c>
      <c r="H255" s="171">
        <v>8219</v>
      </c>
      <c r="I255" s="154">
        <f t="shared" ref="I255:I268" si="66">SUM(H255-G255)</f>
        <v>-313</v>
      </c>
    </row>
    <row r="256" spans="1:9" ht="15" customHeight="1" thickBot="1" x14ac:dyDescent="0.25">
      <c r="A256" s="152">
        <v>601</v>
      </c>
      <c r="B256" s="153" t="s">
        <v>118</v>
      </c>
      <c r="C256" s="142">
        <v>1364</v>
      </c>
      <c r="D256" s="159">
        <v>1393</v>
      </c>
      <c r="E256" s="159">
        <v>1393</v>
      </c>
      <c r="F256" s="142">
        <v>1393</v>
      </c>
      <c r="G256" s="142">
        <v>1393</v>
      </c>
      <c r="H256" s="142">
        <v>1370</v>
      </c>
      <c r="I256" s="154">
        <f t="shared" si="66"/>
        <v>-23</v>
      </c>
    </row>
    <row r="257" spans="1:9" ht="15" customHeight="1" thickBot="1" x14ac:dyDescent="0.25">
      <c r="A257" s="152">
        <v>602</v>
      </c>
      <c r="B257" s="153" t="s">
        <v>119</v>
      </c>
      <c r="C257" s="142">
        <v>347</v>
      </c>
      <c r="D257" s="159">
        <v>2600</v>
      </c>
      <c r="E257" s="159">
        <v>2600</v>
      </c>
      <c r="F257" s="142">
        <v>2600</v>
      </c>
      <c r="G257" s="142">
        <v>2600</v>
      </c>
      <c r="H257" s="142">
        <v>876</v>
      </c>
      <c r="I257" s="154">
        <f t="shared" si="66"/>
        <v>-1724</v>
      </c>
    </row>
    <row r="258" spans="1:9" ht="15" customHeight="1" thickBot="1" x14ac:dyDescent="0.25">
      <c r="A258" s="152">
        <v>603</v>
      </c>
      <c r="B258" s="153" t="s">
        <v>120</v>
      </c>
      <c r="C258" s="142">
        <v>0</v>
      </c>
      <c r="D258" s="142"/>
      <c r="E258" s="142"/>
      <c r="F258" s="142"/>
      <c r="G258" s="142"/>
      <c r="H258" s="142"/>
      <c r="I258" s="154">
        <f t="shared" si="66"/>
        <v>0</v>
      </c>
    </row>
    <row r="259" spans="1:9" ht="15" customHeight="1" thickBot="1" x14ac:dyDescent="0.25">
      <c r="A259" s="152">
        <v>604</v>
      </c>
      <c r="B259" s="153" t="s">
        <v>121</v>
      </c>
      <c r="C259" s="142">
        <v>0</v>
      </c>
      <c r="D259" s="142"/>
      <c r="E259" s="142"/>
      <c r="F259" s="142"/>
      <c r="G259" s="142"/>
      <c r="H259" s="142"/>
      <c r="I259" s="154">
        <f t="shared" si="66"/>
        <v>0</v>
      </c>
    </row>
    <row r="260" spans="1:9" ht="15" customHeight="1" thickBot="1" x14ac:dyDescent="0.25">
      <c r="A260" s="152">
        <v>605</v>
      </c>
      <c r="B260" s="153" t="s">
        <v>122</v>
      </c>
      <c r="C260" s="142">
        <v>0</v>
      </c>
      <c r="D260" s="142"/>
      <c r="E260" s="142"/>
      <c r="F260" s="142"/>
      <c r="G260" s="142"/>
      <c r="H260" s="142"/>
      <c r="I260" s="154">
        <f t="shared" si="66"/>
        <v>0</v>
      </c>
    </row>
    <row r="261" spans="1:9" ht="15" customHeight="1" thickBot="1" x14ac:dyDescent="0.25">
      <c r="A261" s="152">
        <v>606</v>
      </c>
      <c r="B261" s="153" t="s">
        <v>70</v>
      </c>
      <c r="C261" s="142">
        <v>0</v>
      </c>
      <c r="D261" s="142"/>
      <c r="E261" s="142"/>
      <c r="F261" s="142">
        <v>60</v>
      </c>
      <c r="G261" s="142">
        <v>60</v>
      </c>
      <c r="H261" s="142">
        <v>60</v>
      </c>
      <c r="I261" s="154">
        <f t="shared" si="66"/>
        <v>0</v>
      </c>
    </row>
    <row r="262" spans="1:9" ht="15" customHeight="1" thickBot="1" x14ac:dyDescent="0.25">
      <c r="A262" s="152">
        <v>609</v>
      </c>
      <c r="B262" s="153" t="s">
        <v>123</v>
      </c>
      <c r="C262" s="142">
        <v>0</v>
      </c>
      <c r="D262" s="142"/>
      <c r="E262" s="142"/>
      <c r="F262" s="142"/>
      <c r="G262" s="142"/>
      <c r="H262" s="142"/>
      <c r="I262" s="154">
        <f t="shared" si="66"/>
        <v>0</v>
      </c>
    </row>
    <row r="263" spans="1:9" ht="15" customHeight="1" thickBot="1" x14ac:dyDescent="0.25">
      <c r="A263" s="152">
        <v>650</v>
      </c>
      <c r="B263" s="153" t="s">
        <v>124</v>
      </c>
      <c r="C263" s="142">
        <v>0</v>
      </c>
      <c r="D263" s="142"/>
      <c r="E263" s="142"/>
      <c r="F263" s="142"/>
      <c r="G263" s="142"/>
      <c r="H263" s="142"/>
      <c r="I263" s="154">
        <f t="shared" si="66"/>
        <v>0</v>
      </c>
    </row>
    <row r="264" spans="1:9" ht="15" customHeight="1" thickBot="1" x14ac:dyDescent="0.25">
      <c r="A264" s="152" t="s">
        <v>71</v>
      </c>
      <c r="B264" s="153" t="s">
        <v>72</v>
      </c>
      <c r="C264" s="142">
        <v>0</v>
      </c>
      <c r="D264" s="142"/>
      <c r="E264" s="142"/>
      <c r="F264" s="142"/>
      <c r="G264" s="142"/>
      <c r="H264" s="142"/>
      <c r="I264" s="154">
        <f t="shared" si="66"/>
        <v>0</v>
      </c>
    </row>
    <row r="265" spans="1:9" ht="26.25" thickBot="1" x14ac:dyDescent="0.25">
      <c r="A265" s="156" t="s">
        <v>35</v>
      </c>
      <c r="B265" s="157" t="s">
        <v>73</v>
      </c>
      <c r="C265" s="158">
        <f t="shared" ref="C265:F265" si="67">SUM(C255:C264)</f>
        <v>9881</v>
      </c>
      <c r="D265" s="158">
        <f t="shared" si="67"/>
        <v>12585</v>
      </c>
      <c r="E265" s="158">
        <f t="shared" si="67"/>
        <v>12585</v>
      </c>
      <c r="F265" s="158">
        <f t="shared" si="67"/>
        <v>12585</v>
      </c>
      <c r="G265" s="158">
        <f t="shared" ref="G265" si="68">SUM(G255:G264)</f>
        <v>12585</v>
      </c>
      <c r="H265" s="158">
        <f t="shared" ref="H265" si="69">SUM(H255:H264)</f>
        <v>10525</v>
      </c>
      <c r="I265" s="154">
        <f t="shared" si="66"/>
        <v>-2060</v>
      </c>
    </row>
    <row r="266" spans="1:9" ht="15" customHeight="1" thickBot="1" x14ac:dyDescent="0.25">
      <c r="A266" s="152">
        <v>230</v>
      </c>
      <c r="B266" s="152" t="s">
        <v>74</v>
      </c>
      <c r="C266" s="142">
        <v>0</v>
      </c>
      <c r="D266" s="142">
        <v>0</v>
      </c>
      <c r="E266" s="142">
        <v>0</v>
      </c>
      <c r="F266" s="142">
        <v>0</v>
      </c>
      <c r="G266" s="142">
        <v>0</v>
      </c>
      <c r="H266" s="142">
        <v>0</v>
      </c>
      <c r="I266" s="154">
        <f t="shared" si="66"/>
        <v>0</v>
      </c>
    </row>
    <row r="267" spans="1:9" ht="15" customHeight="1" thickBot="1" x14ac:dyDescent="0.25">
      <c r="A267" s="152">
        <v>231</v>
      </c>
      <c r="B267" s="152" t="s">
        <v>125</v>
      </c>
      <c r="C267" s="142">
        <v>0</v>
      </c>
      <c r="D267" s="142"/>
      <c r="E267" s="142"/>
      <c r="F267" s="142">
        <v>1179</v>
      </c>
      <c r="G267" s="142">
        <v>1179</v>
      </c>
      <c r="H267" s="142">
        <v>828</v>
      </c>
      <c r="I267" s="154">
        <f t="shared" si="66"/>
        <v>-351</v>
      </c>
    </row>
    <row r="268" spans="1:9" ht="15" customHeight="1" thickBot="1" x14ac:dyDescent="0.25">
      <c r="A268" s="152">
        <v>232</v>
      </c>
      <c r="B268" s="152" t="s">
        <v>75</v>
      </c>
      <c r="C268" s="142">
        <v>0</v>
      </c>
      <c r="D268" s="142"/>
      <c r="E268" s="142"/>
      <c r="F268" s="142"/>
      <c r="G268" s="142"/>
      <c r="H268" s="142"/>
      <c r="I268" s="154">
        <f t="shared" si="66"/>
        <v>0</v>
      </c>
    </row>
    <row r="269" spans="1:9" ht="21" customHeight="1" thickBot="1" x14ac:dyDescent="0.25">
      <c r="A269" s="156" t="s">
        <v>35</v>
      </c>
      <c r="B269" s="157" t="s">
        <v>76</v>
      </c>
      <c r="C269" s="158">
        <f t="shared" ref="C269:H269" si="70">SUM(C266:C268)</f>
        <v>0</v>
      </c>
      <c r="D269" s="158">
        <f t="shared" si="70"/>
        <v>0</v>
      </c>
      <c r="E269" s="158">
        <f t="shared" si="70"/>
        <v>0</v>
      </c>
      <c r="F269" s="158">
        <f t="shared" si="70"/>
        <v>1179</v>
      </c>
      <c r="G269" s="158">
        <f t="shared" si="70"/>
        <v>1179</v>
      </c>
      <c r="H269" s="158">
        <f t="shared" si="70"/>
        <v>828</v>
      </c>
      <c r="I269" s="154">
        <f>SUM(H266-G268)</f>
        <v>0</v>
      </c>
    </row>
    <row r="270" spans="1:9" ht="15" customHeight="1" thickBot="1" x14ac:dyDescent="0.25">
      <c r="A270" s="152">
        <v>230</v>
      </c>
      <c r="B270" s="152" t="s">
        <v>74</v>
      </c>
      <c r="C270" s="142">
        <v>0</v>
      </c>
      <c r="D270" s="142">
        <v>0</v>
      </c>
      <c r="E270" s="142">
        <v>0</v>
      </c>
      <c r="F270" s="142">
        <v>0</v>
      </c>
      <c r="G270" s="142">
        <v>0</v>
      </c>
      <c r="H270" s="142">
        <v>0</v>
      </c>
      <c r="I270" s="154">
        <f>SUM(H270-G270)</f>
        <v>0</v>
      </c>
    </row>
    <row r="271" spans="1:9" ht="15" customHeight="1" thickBot="1" x14ac:dyDescent="0.25">
      <c r="A271" s="152">
        <v>231</v>
      </c>
      <c r="B271" s="152" t="s">
        <v>125</v>
      </c>
      <c r="C271" s="142">
        <v>0</v>
      </c>
      <c r="D271" s="142">
        <v>0</v>
      </c>
      <c r="E271" s="142">
        <v>0</v>
      </c>
      <c r="F271" s="142">
        <v>0</v>
      </c>
      <c r="G271" s="142">
        <v>0</v>
      </c>
      <c r="H271" s="142">
        <v>0</v>
      </c>
      <c r="I271" s="154">
        <f>SUM(H271-G271)</f>
        <v>0</v>
      </c>
    </row>
    <row r="272" spans="1:9" ht="15" customHeight="1" thickBot="1" x14ac:dyDescent="0.25">
      <c r="A272" s="152">
        <v>232</v>
      </c>
      <c r="B272" s="152" t="s">
        <v>75</v>
      </c>
      <c r="C272" s="142">
        <v>0</v>
      </c>
      <c r="D272" s="142">
        <v>0</v>
      </c>
      <c r="E272" s="142">
        <v>0</v>
      </c>
      <c r="F272" s="142">
        <v>0</v>
      </c>
      <c r="G272" s="142">
        <v>0</v>
      </c>
      <c r="H272" s="142">
        <v>0</v>
      </c>
      <c r="I272" s="154">
        <f>SUM(H272-G272)</f>
        <v>0</v>
      </c>
    </row>
    <row r="273" spans="1:9" ht="20.45" customHeight="1" thickBot="1" x14ac:dyDescent="0.25">
      <c r="A273" s="156" t="s">
        <v>35</v>
      </c>
      <c r="B273" s="157" t="s">
        <v>36</v>
      </c>
      <c r="C273" s="158">
        <f t="shared" ref="C273:H273" si="71">SUM(C270:C272)</f>
        <v>0</v>
      </c>
      <c r="D273" s="158">
        <f t="shared" si="71"/>
        <v>0</v>
      </c>
      <c r="E273" s="158">
        <f t="shared" si="71"/>
        <v>0</v>
      </c>
      <c r="F273" s="158">
        <f t="shared" si="71"/>
        <v>0</v>
      </c>
      <c r="G273" s="158">
        <f t="shared" si="71"/>
        <v>0</v>
      </c>
      <c r="H273" s="158">
        <f t="shared" si="71"/>
        <v>0</v>
      </c>
      <c r="I273" s="154">
        <f>SUM(H270-G272)</f>
        <v>0</v>
      </c>
    </row>
    <row r="274" spans="1:9" ht="13.5" thickBot="1" x14ac:dyDescent="0.25">
      <c r="A274" s="156" t="s">
        <v>37</v>
      </c>
      <c r="B274" s="160" t="s">
        <v>38</v>
      </c>
      <c r="C274" s="161">
        <f>C269+C273</f>
        <v>0</v>
      </c>
      <c r="D274" s="161">
        <f t="shared" ref="D274" si="72">D269+D273</f>
        <v>0</v>
      </c>
      <c r="E274" s="161">
        <f t="shared" ref="E274" si="73">E269+E273</f>
        <v>0</v>
      </c>
      <c r="F274" s="161">
        <f t="shared" ref="F274:G274" si="74">F269+F273</f>
        <v>1179</v>
      </c>
      <c r="G274" s="161">
        <f t="shared" si="74"/>
        <v>1179</v>
      </c>
      <c r="H274" s="161">
        <f t="shared" ref="H274" si="75">H269+H273</f>
        <v>828</v>
      </c>
      <c r="I274" s="154">
        <f>SUM(H274-G274)</f>
        <v>-351</v>
      </c>
    </row>
    <row r="275" spans="1:9" ht="13.5" thickBot="1" x14ac:dyDescent="0.25">
      <c r="A275" s="245" t="s">
        <v>77</v>
      </c>
      <c r="B275" s="246"/>
      <c r="C275" s="162">
        <f t="shared" ref="C275:F275" si="76">C265+C274</f>
        <v>9881</v>
      </c>
      <c r="D275" s="162">
        <f t="shared" si="76"/>
        <v>12585</v>
      </c>
      <c r="E275" s="162">
        <f t="shared" si="76"/>
        <v>12585</v>
      </c>
      <c r="F275" s="162">
        <f t="shared" si="76"/>
        <v>13764</v>
      </c>
      <c r="G275" s="162">
        <f t="shared" ref="G275" si="77">G265+G274</f>
        <v>13764</v>
      </c>
      <c r="H275" s="162">
        <f t="shared" ref="H275" si="78">H265+H274</f>
        <v>11353</v>
      </c>
      <c r="I275" s="162">
        <f t="shared" ref="I275" si="79">I265+I274</f>
        <v>-2411</v>
      </c>
    </row>
    <row r="277" spans="1:9" ht="19.149999999999999" customHeight="1" x14ac:dyDescent="0.2">
      <c r="A277" s="244" t="s">
        <v>66</v>
      </c>
      <c r="B277" s="164" t="s">
        <v>20</v>
      </c>
      <c r="C277" s="165" t="s">
        <v>302</v>
      </c>
      <c r="D277" s="244" t="s">
        <v>19</v>
      </c>
      <c r="E277" s="166" t="s">
        <v>283</v>
      </c>
    </row>
    <row r="278" spans="1:9" ht="21" customHeight="1" x14ac:dyDescent="0.2">
      <c r="A278" s="244"/>
      <c r="B278" s="164" t="s">
        <v>21</v>
      </c>
      <c r="C278" s="165"/>
      <c r="D278" s="244"/>
      <c r="E278" s="166"/>
    </row>
    <row r="279" spans="1:9" ht="22.9" customHeight="1" x14ac:dyDescent="0.2">
      <c r="A279" s="244"/>
      <c r="B279" s="164" t="s">
        <v>22</v>
      </c>
      <c r="C279" s="165" t="str">
        <f>C238</f>
        <v>08.02.2022</v>
      </c>
      <c r="D279" s="244"/>
      <c r="E279" s="166" t="str">
        <f>E238</f>
        <v>08.02.2022</v>
      </c>
    </row>
    <row r="288" spans="1:9" ht="15.75" customHeight="1" x14ac:dyDescent="0.2">
      <c r="A288" s="150"/>
      <c r="B288" s="192"/>
      <c r="C288" s="138"/>
      <c r="D288" s="138"/>
      <c r="E288" s="138"/>
      <c r="F288" s="138"/>
      <c r="G288" s="138"/>
      <c r="H288" s="138"/>
      <c r="I288" s="179" t="s">
        <v>68</v>
      </c>
    </row>
    <row r="289" spans="1:9" ht="24.95" customHeight="1" thickBot="1" x14ac:dyDescent="0.25">
      <c r="A289" s="194" t="s">
        <v>25</v>
      </c>
      <c r="B289" s="195" t="s">
        <v>115</v>
      </c>
      <c r="C289" s="247"/>
      <c r="D289" s="247"/>
      <c r="E289" s="247"/>
      <c r="F289" s="247"/>
      <c r="G289" s="247"/>
      <c r="H289" s="180" t="s">
        <v>26</v>
      </c>
      <c r="I289" s="181">
        <v>2137001</v>
      </c>
    </row>
    <row r="290" spans="1:9" ht="24.95" customHeight="1" thickBot="1" x14ac:dyDescent="0.25">
      <c r="A290" s="196" t="s">
        <v>28</v>
      </c>
      <c r="B290" s="143" t="s">
        <v>99</v>
      </c>
      <c r="C290" s="248"/>
      <c r="D290" s="248"/>
      <c r="E290" s="248"/>
      <c r="F290" s="248"/>
      <c r="G290" s="248"/>
      <c r="H290" s="141" t="s">
        <v>69</v>
      </c>
      <c r="I290" s="167">
        <v>4240</v>
      </c>
    </row>
    <row r="291" spans="1:9" ht="24.95" customHeight="1" thickBot="1" x14ac:dyDescent="0.25">
      <c r="A291" s="197" t="s">
        <v>30</v>
      </c>
      <c r="B291" s="240" t="s">
        <v>17</v>
      </c>
      <c r="C291" s="145">
        <v>-1</v>
      </c>
      <c r="D291" s="145">
        <v>-2</v>
      </c>
      <c r="E291" s="145">
        <v>-3</v>
      </c>
      <c r="F291" s="146">
        <v>-4</v>
      </c>
      <c r="G291" s="146">
        <v>-5</v>
      </c>
      <c r="H291" s="146">
        <v>-6</v>
      </c>
      <c r="I291" s="168" t="s">
        <v>11</v>
      </c>
    </row>
    <row r="292" spans="1:9" ht="24.95" customHeight="1" x14ac:dyDescent="0.2">
      <c r="A292" s="197"/>
      <c r="B292" s="241"/>
      <c r="C292" s="148" t="s">
        <v>12</v>
      </c>
      <c r="D292" s="148" t="s">
        <v>13</v>
      </c>
      <c r="E292" s="148" t="s">
        <v>14</v>
      </c>
      <c r="F292" s="148" t="s">
        <v>14</v>
      </c>
      <c r="G292" s="148" t="s">
        <v>14</v>
      </c>
      <c r="H292" s="148" t="s">
        <v>31</v>
      </c>
      <c r="I292" s="184" t="s">
        <v>15</v>
      </c>
    </row>
    <row r="293" spans="1:9" ht="24.95" customHeight="1" x14ac:dyDescent="0.2">
      <c r="A293" s="197"/>
      <c r="B293" s="242"/>
      <c r="C293" s="128" t="s">
        <v>292</v>
      </c>
      <c r="D293" s="128" t="s">
        <v>293</v>
      </c>
      <c r="E293" s="128" t="s">
        <v>294</v>
      </c>
      <c r="F293" s="128" t="s">
        <v>116</v>
      </c>
      <c r="G293" s="150" t="s">
        <v>32</v>
      </c>
      <c r="H293" s="128" t="s">
        <v>33</v>
      </c>
      <c r="I293" s="186"/>
    </row>
    <row r="294" spans="1:9" ht="24.95" customHeight="1" x14ac:dyDescent="0.2">
      <c r="A294" s="198"/>
      <c r="B294" s="249"/>
      <c r="C294" s="190"/>
      <c r="D294" s="188"/>
      <c r="E294" s="188"/>
      <c r="F294" s="188"/>
      <c r="G294" s="189"/>
      <c r="H294" s="190" t="s">
        <v>34</v>
      </c>
      <c r="I294" s="191"/>
    </row>
    <row r="295" spans="1:9" ht="15" customHeight="1" thickBot="1" x14ac:dyDescent="0.25">
      <c r="A295" s="152">
        <v>600</v>
      </c>
      <c r="B295" s="153" t="s">
        <v>117</v>
      </c>
      <c r="C295" s="171">
        <v>384</v>
      </c>
      <c r="D295" s="193">
        <v>621</v>
      </c>
      <c r="E295" s="193">
        <v>621</v>
      </c>
      <c r="F295" s="171">
        <v>621</v>
      </c>
      <c r="G295" s="171">
        <v>621</v>
      </c>
      <c r="H295" s="171">
        <v>593</v>
      </c>
      <c r="I295" s="154">
        <f t="shared" ref="I295:I308" si="80">SUM(H295-G295)</f>
        <v>-28</v>
      </c>
    </row>
    <row r="296" spans="1:9" ht="15" customHeight="1" thickBot="1" x14ac:dyDescent="0.25">
      <c r="A296" s="152">
        <v>601</v>
      </c>
      <c r="B296" s="153" t="s">
        <v>118</v>
      </c>
      <c r="C296" s="142">
        <v>64</v>
      </c>
      <c r="D296" s="159">
        <v>100</v>
      </c>
      <c r="E296" s="159">
        <v>100</v>
      </c>
      <c r="F296" s="142">
        <v>100</v>
      </c>
      <c r="G296" s="142">
        <v>100</v>
      </c>
      <c r="H296" s="142">
        <v>99</v>
      </c>
      <c r="I296" s="154">
        <f t="shared" si="80"/>
        <v>-1</v>
      </c>
    </row>
    <row r="297" spans="1:9" ht="15" customHeight="1" thickBot="1" x14ac:dyDescent="0.25">
      <c r="A297" s="152">
        <v>602</v>
      </c>
      <c r="B297" s="153" t="s">
        <v>119</v>
      </c>
      <c r="C297" s="142">
        <v>4230</v>
      </c>
      <c r="D297" s="159">
        <v>2737</v>
      </c>
      <c r="E297" s="159">
        <v>2737</v>
      </c>
      <c r="F297" s="142">
        <v>3737</v>
      </c>
      <c r="G297" s="142">
        <v>3737</v>
      </c>
      <c r="H297" s="142">
        <v>176</v>
      </c>
      <c r="I297" s="154">
        <f t="shared" si="80"/>
        <v>-3561</v>
      </c>
    </row>
    <row r="298" spans="1:9" ht="15" customHeight="1" thickBot="1" x14ac:dyDescent="0.25">
      <c r="A298" s="152">
        <v>603</v>
      </c>
      <c r="B298" s="153" t="s">
        <v>120</v>
      </c>
      <c r="C298" s="142">
        <v>0</v>
      </c>
      <c r="D298" s="142"/>
      <c r="E298" s="142"/>
      <c r="F298" s="142"/>
      <c r="G298" s="142"/>
      <c r="H298" s="142"/>
      <c r="I298" s="154">
        <f t="shared" si="80"/>
        <v>0</v>
      </c>
    </row>
    <row r="299" spans="1:9" ht="15" customHeight="1" thickBot="1" x14ac:dyDescent="0.25">
      <c r="A299" s="152">
        <v>604</v>
      </c>
      <c r="B299" s="153" t="s">
        <v>121</v>
      </c>
      <c r="C299" s="142">
        <v>0</v>
      </c>
      <c r="D299" s="142"/>
      <c r="E299" s="142"/>
      <c r="F299" s="142"/>
      <c r="G299" s="142"/>
      <c r="H299" s="142"/>
      <c r="I299" s="154">
        <f t="shared" si="80"/>
        <v>0</v>
      </c>
    </row>
    <row r="300" spans="1:9" ht="15" customHeight="1" thickBot="1" x14ac:dyDescent="0.25">
      <c r="A300" s="152">
        <v>605</v>
      </c>
      <c r="B300" s="153" t="s">
        <v>122</v>
      </c>
      <c r="C300" s="142">
        <v>0</v>
      </c>
      <c r="D300" s="142"/>
      <c r="E300" s="142"/>
      <c r="F300" s="142"/>
      <c r="G300" s="142"/>
      <c r="H300" s="142"/>
      <c r="I300" s="154">
        <f t="shared" si="80"/>
        <v>0</v>
      </c>
    </row>
    <row r="301" spans="1:9" ht="15" customHeight="1" thickBot="1" x14ac:dyDescent="0.25">
      <c r="A301" s="152">
        <v>606</v>
      </c>
      <c r="B301" s="153" t="s">
        <v>70</v>
      </c>
      <c r="C301" s="142">
        <v>0</v>
      </c>
      <c r="D301" s="142"/>
      <c r="E301" s="142"/>
      <c r="F301" s="142"/>
      <c r="G301" s="142"/>
      <c r="H301" s="142"/>
      <c r="I301" s="154">
        <f t="shared" si="80"/>
        <v>0</v>
      </c>
    </row>
    <row r="302" spans="1:9" ht="15" customHeight="1" thickBot="1" x14ac:dyDescent="0.25">
      <c r="A302" s="152">
        <v>609</v>
      </c>
      <c r="B302" s="153" t="s">
        <v>123</v>
      </c>
      <c r="C302" s="142">
        <v>0</v>
      </c>
      <c r="D302" s="142"/>
      <c r="E302" s="142"/>
      <c r="F302" s="142"/>
      <c r="G302" s="142"/>
      <c r="H302" s="142"/>
      <c r="I302" s="154">
        <f t="shared" si="80"/>
        <v>0</v>
      </c>
    </row>
    <row r="303" spans="1:9" ht="15" customHeight="1" thickBot="1" x14ac:dyDescent="0.25">
      <c r="A303" s="152">
        <v>650</v>
      </c>
      <c r="B303" s="153" t="s">
        <v>124</v>
      </c>
      <c r="C303" s="142">
        <v>0</v>
      </c>
      <c r="D303" s="142"/>
      <c r="E303" s="142"/>
      <c r="F303" s="142"/>
      <c r="G303" s="142"/>
      <c r="H303" s="142"/>
      <c r="I303" s="154">
        <f t="shared" si="80"/>
        <v>0</v>
      </c>
    </row>
    <row r="304" spans="1:9" ht="15" customHeight="1" thickBot="1" x14ac:dyDescent="0.25">
      <c r="A304" s="152" t="s">
        <v>71</v>
      </c>
      <c r="B304" s="153" t="s">
        <v>72</v>
      </c>
      <c r="C304" s="142">
        <v>0</v>
      </c>
      <c r="D304" s="142"/>
      <c r="E304" s="142"/>
      <c r="F304" s="142"/>
      <c r="G304" s="142"/>
      <c r="H304" s="142"/>
      <c r="I304" s="154">
        <f t="shared" si="80"/>
        <v>0</v>
      </c>
    </row>
    <row r="305" spans="1:9" ht="26.25" thickBot="1" x14ac:dyDescent="0.25">
      <c r="A305" s="156" t="s">
        <v>35</v>
      </c>
      <c r="B305" s="157" t="s">
        <v>73</v>
      </c>
      <c r="C305" s="158">
        <f t="shared" ref="C305:H305" si="81">SUM(C295:C304)</f>
        <v>4678</v>
      </c>
      <c r="D305" s="158">
        <f t="shared" si="81"/>
        <v>3458</v>
      </c>
      <c r="E305" s="158">
        <f t="shared" si="81"/>
        <v>3458</v>
      </c>
      <c r="F305" s="158">
        <f t="shared" si="81"/>
        <v>4458</v>
      </c>
      <c r="G305" s="158">
        <f t="shared" ref="G305" si="82">SUM(G295:G304)</f>
        <v>4458</v>
      </c>
      <c r="H305" s="158">
        <f t="shared" si="81"/>
        <v>868</v>
      </c>
      <c r="I305" s="154">
        <f t="shared" si="80"/>
        <v>-3590</v>
      </c>
    </row>
    <row r="306" spans="1:9" ht="15" customHeight="1" thickBot="1" x14ac:dyDescent="0.25">
      <c r="A306" s="152">
        <v>230</v>
      </c>
      <c r="B306" s="152" t="s">
        <v>74</v>
      </c>
      <c r="C306" s="142">
        <v>0</v>
      </c>
      <c r="D306" s="142">
        <v>0</v>
      </c>
      <c r="E306" s="142">
        <v>0</v>
      </c>
      <c r="F306" s="142">
        <v>0</v>
      </c>
      <c r="G306" s="142">
        <v>0</v>
      </c>
      <c r="H306" s="142">
        <v>0</v>
      </c>
      <c r="I306" s="154">
        <f t="shared" si="80"/>
        <v>0</v>
      </c>
    </row>
    <row r="307" spans="1:9" ht="15" customHeight="1" thickBot="1" x14ac:dyDescent="0.25">
      <c r="A307" s="152">
        <v>231</v>
      </c>
      <c r="B307" s="152" t="s">
        <v>125</v>
      </c>
      <c r="C307" s="142">
        <v>27394</v>
      </c>
      <c r="D307" s="142"/>
      <c r="E307" s="142"/>
      <c r="F307" s="142"/>
      <c r="G307" s="142"/>
      <c r="H307" s="142"/>
      <c r="I307" s="154">
        <f t="shared" si="80"/>
        <v>0</v>
      </c>
    </row>
    <row r="308" spans="1:9" ht="15" customHeight="1" thickBot="1" x14ac:dyDescent="0.25">
      <c r="A308" s="152">
        <v>232</v>
      </c>
      <c r="B308" s="152" t="s">
        <v>75</v>
      </c>
      <c r="C308" s="142">
        <v>0</v>
      </c>
      <c r="D308" s="142">
        <v>0</v>
      </c>
      <c r="E308" s="142">
        <v>0</v>
      </c>
      <c r="F308" s="142">
        <v>0</v>
      </c>
      <c r="G308" s="142">
        <v>0</v>
      </c>
      <c r="H308" s="142">
        <v>0</v>
      </c>
      <c r="I308" s="154">
        <f t="shared" si="80"/>
        <v>0</v>
      </c>
    </row>
    <row r="309" spans="1:9" ht="21" customHeight="1" thickBot="1" x14ac:dyDescent="0.25">
      <c r="A309" s="156" t="s">
        <v>35</v>
      </c>
      <c r="B309" s="157" t="s">
        <v>76</v>
      </c>
      <c r="C309" s="158">
        <f t="shared" ref="C309:H309" si="83">SUM(C306:C308)</f>
        <v>27394</v>
      </c>
      <c r="D309" s="158">
        <f t="shared" si="83"/>
        <v>0</v>
      </c>
      <c r="E309" s="158">
        <f t="shared" si="83"/>
        <v>0</v>
      </c>
      <c r="F309" s="158">
        <f t="shared" si="83"/>
        <v>0</v>
      </c>
      <c r="G309" s="158">
        <f t="shared" si="83"/>
        <v>0</v>
      </c>
      <c r="H309" s="158">
        <f t="shared" si="83"/>
        <v>0</v>
      </c>
      <c r="I309" s="154">
        <f>SUM(H306-G308)</f>
        <v>0</v>
      </c>
    </row>
    <row r="310" spans="1:9" ht="15" customHeight="1" thickBot="1" x14ac:dyDescent="0.25">
      <c r="A310" s="152">
        <v>230</v>
      </c>
      <c r="B310" s="152" t="s">
        <v>74</v>
      </c>
      <c r="C310" s="142">
        <v>0</v>
      </c>
      <c r="D310" s="142">
        <v>0</v>
      </c>
      <c r="E310" s="142">
        <v>0</v>
      </c>
      <c r="F310" s="142">
        <v>0</v>
      </c>
      <c r="G310" s="142">
        <v>0</v>
      </c>
      <c r="H310" s="142">
        <v>0</v>
      </c>
      <c r="I310" s="154">
        <f>SUM(H310-G310)</f>
        <v>0</v>
      </c>
    </row>
    <row r="311" spans="1:9" ht="15" customHeight="1" thickBot="1" x14ac:dyDescent="0.25">
      <c r="A311" s="152">
        <v>231</v>
      </c>
      <c r="B311" s="152" t="s">
        <v>125</v>
      </c>
      <c r="C311" s="142">
        <v>0</v>
      </c>
      <c r="D311" s="142">
        <v>0</v>
      </c>
      <c r="E311" s="142">
        <v>0</v>
      </c>
      <c r="F311" s="142">
        <v>0</v>
      </c>
      <c r="G311" s="142">
        <v>0</v>
      </c>
      <c r="H311" s="142">
        <v>0</v>
      </c>
      <c r="I311" s="154">
        <f>SUM(H311-G311)</f>
        <v>0</v>
      </c>
    </row>
    <row r="312" spans="1:9" ht="15" customHeight="1" thickBot="1" x14ac:dyDescent="0.25">
      <c r="A312" s="152">
        <v>232</v>
      </c>
      <c r="B312" s="152" t="s">
        <v>75</v>
      </c>
      <c r="C312" s="142">
        <v>0</v>
      </c>
      <c r="D312" s="142">
        <v>0</v>
      </c>
      <c r="E312" s="142">
        <v>0</v>
      </c>
      <c r="F312" s="142">
        <v>0</v>
      </c>
      <c r="G312" s="142">
        <v>0</v>
      </c>
      <c r="H312" s="142">
        <v>0</v>
      </c>
      <c r="I312" s="154">
        <f>SUM(H312-G312)</f>
        <v>0</v>
      </c>
    </row>
    <row r="313" spans="1:9" ht="20.45" customHeight="1" thickBot="1" x14ac:dyDescent="0.25">
      <c r="A313" s="156" t="s">
        <v>35</v>
      </c>
      <c r="B313" s="157" t="s">
        <v>36</v>
      </c>
      <c r="C313" s="158">
        <f t="shared" ref="C313:H313" si="84">SUM(C310:C312)</f>
        <v>0</v>
      </c>
      <c r="D313" s="158">
        <f t="shared" si="84"/>
        <v>0</v>
      </c>
      <c r="E313" s="158">
        <f t="shared" si="84"/>
        <v>0</v>
      </c>
      <c r="F313" s="158">
        <f t="shared" si="84"/>
        <v>0</v>
      </c>
      <c r="G313" s="158">
        <f t="shared" si="84"/>
        <v>0</v>
      </c>
      <c r="H313" s="158">
        <f t="shared" si="84"/>
        <v>0</v>
      </c>
      <c r="I313" s="154">
        <f>SUM(H310-G312)</f>
        <v>0</v>
      </c>
    </row>
    <row r="314" spans="1:9" ht="13.5" thickBot="1" x14ac:dyDescent="0.25">
      <c r="A314" s="156" t="s">
        <v>37</v>
      </c>
      <c r="B314" s="160" t="s">
        <v>38</v>
      </c>
      <c r="C314" s="161">
        <f t="shared" ref="C314:H314" si="85">C309</f>
        <v>27394</v>
      </c>
      <c r="D314" s="161">
        <f t="shared" si="85"/>
        <v>0</v>
      </c>
      <c r="E314" s="161">
        <f t="shared" si="85"/>
        <v>0</v>
      </c>
      <c r="F314" s="161">
        <f t="shared" si="85"/>
        <v>0</v>
      </c>
      <c r="G314" s="161">
        <f t="shared" ref="G314" si="86">G309</f>
        <v>0</v>
      </c>
      <c r="H314" s="161">
        <f t="shared" si="85"/>
        <v>0</v>
      </c>
      <c r="I314" s="154">
        <f>SUM(H314-G314)</f>
        <v>0</v>
      </c>
    </row>
    <row r="315" spans="1:9" ht="13.5" thickBot="1" x14ac:dyDescent="0.25">
      <c r="A315" s="245" t="s">
        <v>77</v>
      </c>
      <c r="B315" s="246"/>
      <c r="C315" s="162">
        <f t="shared" ref="C315:H315" si="87">C305+C309</f>
        <v>32072</v>
      </c>
      <c r="D315" s="162">
        <f t="shared" si="87"/>
        <v>3458</v>
      </c>
      <c r="E315" s="162">
        <f t="shared" si="87"/>
        <v>3458</v>
      </c>
      <c r="F315" s="162">
        <f t="shared" si="87"/>
        <v>4458</v>
      </c>
      <c r="G315" s="162">
        <f t="shared" ref="G315" si="88">G305+G309</f>
        <v>4458</v>
      </c>
      <c r="H315" s="162">
        <f t="shared" si="87"/>
        <v>868</v>
      </c>
      <c r="I315" s="163">
        <f>SUM(H315-G315)</f>
        <v>-3590</v>
      </c>
    </row>
    <row r="317" spans="1:9" ht="19.149999999999999" customHeight="1" x14ac:dyDescent="0.2">
      <c r="A317" s="244" t="s">
        <v>66</v>
      </c>
      <c r="B317" s="164" t="s">
        <v>20</v>
      </c>
      <c r="C317" s="165" t="s">
        <v>302</v>
      </c>
      <c r="D317" s="244" t="s">
        <v>19</v>
      </c>
      <c r="E317" s="166" t="s">
        <v>283</v>
      </c>
    </row>
    <row r="318" spans="1:9" ht="21" customHeight="1" x14ac:dyDescent="0.2">
      <c r="A318" s="244"/>
      <c r="B318" s="164" t="s">
        <v>21</v>
      </c>
      <c r="C318" s="165"/>
      <c r="D318" s="244"/>
      <c r="E318" s="166"/>
    </row>
    <row r="319" spans="1:9" ht="22.9" customHeight="1" x14ac:dyDescent="0.2">
      <c r="A319" s="244"/>
      <c r="B319" s="164" t="s">
        <v>22</v>
      </c>
      <c r="C319" s="165" t="str">
        <f>C279</f>
        <v>08.02.2022</v>
      </c>
      <c r="D319" s="244"/>
      <c r="E319" s="166" t="str">
        <f>E279</f>
        <v>08.02.2022</v>
      </c>
    </row>
    <row r="330" spans="1:9" ht="15.75" customHeight="1" x14ac:dyDescent="0.2">
      <c r="A330" s="150"/>
      <c r="B330" s="192"/>
      <c r="C330" s="138"/>
      <c r="D330" s="138"/>
      <c r="E330" s="138"/>
      <c r="F330" s="138"/>
      <c r="G330" s="138"/>
      <c r="H330" s="138"/>
      <c r="I330" s="179" t="s">
        <v>68</v>
      </c>
    </row>
    <row r="331" spans="1:9" ht="24.95" customHeight="1" thickBot="1" x14ac:dyDescent="0.25">
      <c r="A331" s="194" t="s">
        <v>25</v>
      </c>
      <c r="B331" s="195" t="s">
        <v>115</v>
      </c>
      <c r="C331" s="247"/>
      <c r="D331" s="247"/>
      <c r="E331" s="247"/>
      <c r="F331" s="247"/>
      <c r="G331" s="247"/>
      <c r="H331" s="180" t="s">
        <v>26</v>
      </c>
      <c r="I331" s="181">
        <v>2137001</v>
      </c>
    </row>
    <row r="332" spans="1:9" ht="24.95" customHeight="1" thickBot="1" x14ac:dyDescent="0.25">
      <c r="A332" s="196" t="s">
        <v>28</v>
      </c>
      <c r="B332" s="143" t="s">
        <v>100</v>
      </c>
      <c r="C332" s="248"/>
      <c r="D332" s="248"/>
      <c r="E332" s="248"/>
      <c r="F332" s="248"/>
      <c r="G332" s="248"/>
      <c r="H332" s="141" t="s">
        <v>69</v>
      </c>
      <c r="I332" s="167">
        <v>4520</v>
      </c>
    </row>
    <row r="333" spans="1:9" ht="24.95" customHeight="1" thickBot="1" x14ac:dyDescent="0.25">
      <c r="A333" s="197" t="s">
        <v>30</v>
      </c>
      <c r="B333" s="240" t="s">
        <v>17</v>
      </c>
      <c r="C333" s="145">
        <v>-1</v>
      </c>
      <c r="D333" s="145">
        <v>-2</v>
      </c>
      <c r="E333" s="145">
        <v>-3</v>
      </c>
      <c r="F333" s="146">
        <v>-4</v>
      </c>
      <c r="G333" s="146">
        <v>-5</v>
      </c>
      <c r="H333" s="146">
        <v>-6</v>
      </c>
      <c r="I333" s="168" t="s">
        <v>11</v>
      </c>
    </row>
    <row r="334" spans="1:9" ht="24.95" customHeight="1" x14ac:dyDescent="0.2">
      <c r="A334" s="197"/>
      <c r="B334" s="241"/>
      <c r="C334" s="148" t="s">
        <v>12</v>
      </c>
      <c r="D334" s="148" t="s">
        <v>13</v>
      </c>
      <c r="E334" s="148" t="s">
        <v>14</v>
      </c>
      <c r="F334" s="148" t="s">
        <v>14</v>
      </c>
      <c r="G334" s="148" t="s">
        <v>14</v>
      </c>
      <c r="H334" s="148" t="s">
        <v>31</v>
      </c>
      <c r="I334" s="184" t="s">
        <v>15</v>
      </c>
    </row>
    <row r="335" spans="1:9" ht="24.95" customHeight="1" x14ac:dyDescent="0.2">
      <c r="A335" s="197"/>
      <c r="B335" s="242"/>
      <c r="C335" s="128" t="s">
        <v>292</v>
      </c>
      <c r="D335" s="128" t="s">
        <v>293</v>
      </c>
      <c r="E335" s="128" t="s">
        <v>294</v>
      </c>
      <c r="F335" s="128" t="s">
        <v>116</v>
      </c>
      <c r="G335" s="150" t="s">
        <v>32</v>
      </c>
      <c r="H335" s="128" t="s">
        <v>33</v>
      </c>
      <c r="I335" s="186"/>
    </row>
    <row r="336" spans="1:9" ht="24.95" customHeight="1" x14ac:dyDescent="0.2">
      <c r="A336" s="198"/>
      <c r="B336" s="249"/>
      <c r="C336" s="190"/>
      <c r="D336" s="188"/>
      <c r="E336" s="188"/>
      <c r="F336" s="188"/>
      <c r="G336" s="189"/>
      <c r="H336" s="190" t="s">
        <v>34</v>
      </c>
      <c r="I336" s="191"/>
    </row>
    <row r="337" spans="1:9" ht="15" customHeight="1" thickBot="1" x14ac:dyDescent="0.25">
      <c r="A337" s="152">
        <v>600</v>
      </c>
      <c r="B337" s="153" t="s">
        <v>117</v>
      </c>
      <c r="C337" s="171">
        <f>4691+145</f>
        <v>4836</v>
      </c>
      <c r="D337" s="193">
        <v>4806</v>
      </c>
      <c r="E337" s="193">
        <v>4806</v>
      </c>
      <c r="F337" s="171">
        <f>4806+800</f>
        <v>5606</v>
      </c>
      <c r="G337" s="171">
        <f>4806+800</f>
        <v>5606</v>
      </c>
      <c r="H337" s="171">
        <f>4806+589</f>
        <v>5395</v>
      </c>
      <c r="I337" s="154">
        <f t="shared" ref="I337:I350" si="89">SUM(H337-G337)</f>
        <v>-211</v>
      </c>
    </row>
    <row r="338" spans="1:9" ht="15" customHeight="1" thickBot="1" x14ac:dyDescent="0.25">
      <c r="A338" s="152">
        <v>601</v>
      </c>
      <c r="B338" s="153" t="s">
        <v>118</v>
      </c>
      <c r="C338" s="142">
        <f>769+127</f>
        <v>896</v>
      </c>
      <c r="D338" s="159">
        <v>936</v>
      </c>
      <c r="E338" s="159">
        <v>936</v>
      </c>
      <c r="F338" s="142">
        <f>936+100</f>
        <v>1036</v>
      </c>
      <c r="G338" s="142">
        <f>936+100</f>
        <v>1036</v>
      </c>
      <c r="H338" s="142">
        <f>936+100</f>
        <v>1036</v>
      </c>
      <c r="I338" s="154">
        <f t="shared" si="89"/>
        <v>0</v>
      </c>
    </row>
    <row r="339" spans="1:9" ht="15" customHeight="1" thickBot="1" x14ac:dyDescent="0.25">
      <c r="A339" s="152">
        <v>602</v>
      </c>
      <c r="B339" s="153" t="s">
        <v>119</v>
      </c>
      <c r="C339" s="142">
        <v>2066</v>
      </c>
      <c r="D339" s="159">
        <f>1183+671</f>
        <v>1854</v>
      </c>
      <c r="E339" s="159">
        <f>1183+671</f>
        <v>1854</v>
      </c>
      <c r="F339" s="142">
        <f>1183+671</f>
        <v>1854</v>
      </c>
      <c r="G339" s="142">
        <f>1183+671</f>
        <v>1854</v>
      </c>
      <c r="H339" s="142">
        <f>1055+592</f>
        <v>1647</v>
      </c>
      <c r="I339" s="154">
        <f t="shared" si="89"/>
        <v>-207</v>
      </c>
    </row>
    <row r="340" spans="1:9" ht="15" customHeight="1" thickBot="1" x14ac:dyDescent="0.25">
      <c r="A340" s="152">
        <v>603</v>
      </c>
      <c r="B340" s="153" t="s">
        <v>120</v>
      </c>
      <c r="C340" s="142">
        <v>0</v>
      </c>
      <c r="D340" s="142"/>
      <c r="E340" s="142"/>
      <c r="F340" s="142"/>
      <c r="G340" s="142"/>
      <c r="H340" s="142"/>
      <c r="I340" s="154">
        <f t="shared" si="89"/>
        <v>0</v>
      </c>
    </row>
    <row r="341" spans="1:9" ht="15" customHeight="1" thickBot="1" x14ac:dyDescent="0.25">
      <c r="A341" s="152">
        <v>604</v>
      </c>
      <c r="B341" s="153" t="s">
        <v>121</v>
      </c>
      <c r="C341" s="142">
        <v>0</v>
      </c>
      <c r="D341" s="142"/>
      <c r="E341" s="142"/>
      <c r="F341" s="142"/>
      <c r="G341" s="142"/>
      <c r="H341" s="142"/>
      <c r="I341" s="154">
        <f t="shared" si="89"/>
        <v>0</v>
      </c>
    </row>
    <row r="342" spans="1:9" ht="15" customHeight="1" thickBot="1" x14ac:dyDescent="0.25">
      <c r="A342" s="152">
        <v>605</v>
      </c>
      <c r="B342" s="153" t="s">
        <v>122</v>
      </c>
      <c r="C342" s="142">
        <v>0</v>
      </c>
      <c r="D342" s="142"/>
      <c r="E342" s="142"/>
      <c r="F342" s="142"/>
      <c r="G342" s="142"/>
      <c r="H342" s="142"/>
      <c r="I342" s="154">
        <f t="shared" si="89"/>
        <v>0</v>
      </c>
    </row>
    <row r="343" spans="1:9" ht="15" customHeight="1" thickBot="1" x14ac:dyDescent="0.25">
      <c r="A343" s="152">
        <v>606</v>
      </c>
      <c r="B343" s="153" t="s">
        <v>70</v>
      </c>
      <c r="C343" s="142">
        <v>0</v>
      </c>
      <c r="D343" s="142"/>
      <c r="E343" s="142"/>
      <c r="F343" s="142"/>
      <c r="G343" s="142"/>
      <c r="H343" s="142"/>
      <c r="I343" s="154">
        <f t="shared" si="89"/>
        <v>0</v>
      </c>
    </row>
    <row r="344" spans="1:9" ht="15" customHeight="1" thickBot="1" x14ac:dyDescent="0.25">
      <c r="A344" s="152">
        <v>609</v>
      </c>
      <c r="B344" s="153" t="s">
        <v>123</v>
      </c>
      <c r="C344" s="142">
        <v>0</v>
      </c>
      <c r="D344" s="142"/>
      <c r="E344" s="142"/>
      <c r="F344" s="142"/>
      <c r="G344" s="142"/>
      <c r="H344" s="142"/>
      <c r="I344" s="154">
        <f t="shared" si="89"/>
        <v>0</v>
      </c>
    </row>
    <row r="345" spans="1:9" ht="15" customHeight="1" thickBot="1" x14ac:dyDescent="0.25">
      <c r="A345" s="152">
        <v>650</v>
      </c>
      <c r="B345" s="153" t="s">
        <v>124</v>
      </c>
      <c r="C345" s="142">
        <v>0</v>
      </c>
      <c r="D345" s="142"/>
      <c r="E345" s="142"/>
      <c r="F345" s="142"/>
      <c r="G345" s="142"/>
      <c r="H345" s="142"/>
      <c r="I345" s="154">
        <f t="shared" si="89"/>
        <v>0</v>
      </c>
    </row>
    <row r="346" spans="1:9" ht="15" customHeight="1" thickBot="1" x14ac:dyDescent="0.25">
      <c r="A346" s="152" t="s">
        <v>71</v>
      </c>
      <c r="B346" s="153" t="s">
        <v>72</v>
      </c>
      <c r="C346" s="142">
        <v>0</v>
      </c>
      <c r="D346" s="142">
        <v>0</v>
      </c>
      <c r="E346" s="142">
        <v>0</v>
      </c>
      <c r="F346" s="142">
        <v>0</v>
      </c>
      <c r="G346" s="142">
        <v>0</v>
      </c>
      <c r="H346" s="142">
        <v>0</v>
      </c>
      <c r="I346" s="154">
        <f t="shared" si="89"/>
        <v>0</v>
      </c>
    </row>
    <row r="347" spans="1:9" ht="26.25" thickBot="1" x14ac:dyDescent="0.25">
      <c r="A347" s="156" t="s">
        <v>35</v>
      </c>
      <c r="B347" s="157" t="s">
        <v>73</v>
      </c>
      <c r="C347" s="158">
        <f t="shared" ref="C347:H347" si="90">SUM(C337:C346)</f>
        <v>7798</v>
      </c>
      <c r="D347" s="158">
        <f t="shared" si="90"/>
        <v>7596</v>
      </c>
      <c r="E347" s="158">
        <f t="shared" si="90"/>
        <v>7596</v>
      </c>
      <c r="F347" s="158">
        <f t="shared" si="90"/>
        <v>8496</v>
      </c>
      <c r="G347" s="158">
        <f t="shared" si="90"/>
        <v>8496</v>
      </c>
      <c r="H347" s="158">
        <f t="shared" si="90"/>
        <v>8078</v>
      </c>
      <c r="I347" s="154">
        <f t="shared" si="89"/>
        <v>-418</v>
      </c>
    </row>
    <row r="348" spans="1:9" ht="15" customHeight="1" thickBot="1" x14ac:dyDescent="0.25">
      <c r="A348" s="152">
        <v>230</v>
      </c>
      <c r="B348" s="152" t="s">
        <v>74</v>
      </c>
      <c r="C348" s="142">
        <v>0</v>
      </c>
      <c r="D348" s="142">
        <v>0</v>
      </c>
      <c r="E348" s="142">
        <v>0</v>
      </c>
      <c r="F348" s="142">
        <v>0</v>
      </c>
      <c r="G348" s="142">
        <v>0</v>
      </c>
      <c r="H348" s="142">
        <v>0</v>
      </c>
      <c r="I348" s="154">
        <f t="shared" si="89"/>
        <v>0</v>
      </c>
    </row>
    <row r="349" spans="1:9" ht="15" customHeight="1" thickBot="1" x14ac:dyDescent="0.25">
      <c r="A349" s="152">
        <v>231</v>
      </c>
      <c r="B349" s="152" t="s">
        <v>125</v>
      </c>
      <c r="C349" s="142">
        <v>1984</v>
      </c>
      <c r="D349" s="142">
        <v>0</v>
      </c>
      <c r="E349" s="142">
        <v>0</v>
      </c>
      <c r="F349" s="142">
        <v>3469</v>
      </c>
      <c r="G349" s="142">
        <v>3469</v>
      </c>
      <c r="H349" s="142">
        <v>985</v>
      </c>
      <c r="I349" s="154">
        <f t="shared" si="89"/>
        <v>-2484</v>
      </c>
    </row>
    <row r="350" spans="1:9" ht="15" customHeight="1" thickBot="1" x14ac:dyDescent="0.25">
      <c r="A350" s="152">
        <v>232</v>
      </c>
      <c r="B350" s="152" t="s">
        <v>75</v>
      </c>
      <c r="C350" s="142">
        <v>0</v>
      </c>
      <c r="D350" s="142">
        <v>0</v>
      </c>
      <c r="E350" s="142">
        <v>0</v>
      </c>
      <c r="F350" s="142">
        <v>0</v>
      </c>
      <c r="G350" s="142">
        <v>0</v>
      </c>
      <c r="H350" s="142">
        <v>0</v>
      </c>
      <c r="I350" s="154">
        <f t="shared" si="89"/>
        <v>0</v>
      </c>
    </row>
    <row r="351" spans="1:9" ht="21" customHeight="1" thickBot="1" x14ac:dyDescent="0.25">
      <c r="A351" s="156" t="s">
        <v>35</v>
      </c>
      <c r="B351" s="157" t="s">
        <v>76</v>
      </c>
      <c r="C351" s="158">
        <f t="shared" ref="C351:I351" si="91">SUM(C348:C350)</f>
        <v>1984</v>
      </c>
      <c r="D351" s="158">
        <f t="shared" si="91"/>
        <v>0</v>
      </c>
      <c r="E351" s="158">
        <f t="shared" si="91"/>
        <v>0</v>
      </c>
      <c r="F351" s="158">
        <f t="shared" si="91"/>
        <v>3469</v>
      </c>
      <c r="G351" s="158">
        <f t="shared" si="91"/>
        <v>3469</v>
      </c>
      <c r="H351" s="158">
        <f t="shared" si="91"/>
        <v>985</v>
      </c>
      <c r="I351" s="158">
        <f t="shared" si="91"/>
        <v>-2484</v>
      </c>
    </row>
    <row r="352" spans="1:9" ht="15" customHeight="1" thickBot="1" x14ac:dyDescent="0.25">
      <c r="A352" s="152">
        <v>230</v>
      </c>
      <c r="B352" s="152" t="s">
        <v>74</v>
      </c>
      <c r="C352" s="142">
        <v>0</v>
      </c>
      <c r="D352" s="142">
        <v>0</v>
      </c>
      <c r="E352" s="142">
        <v>0</v>
      </c>
      <c r="F352" s="142">
        <v>0</v>
      </c>
      <c r="G352" s="142">
        <v>0</v>
      </c>
      <c r="H352" s="142">
        <v>0</v>
      </c>
      <c r="I352" s="154">
        <f>SUM(H352-G352)</f>
        <v>0</v>
      </c>
    </row>
    <row r="353" spans="1:9" ht="15" customHeight="1" thickBot="1" x14ac:dyDescent="0.25">
      <c r="A353" s="152">
        <v>231</v>
      </c>
      <c r="B353" s="152" t="s">
        <v>125</v>
      </c>
      <c r="C353" s="142">
        <v>0</v>
      </c>
      <c r="D353" s="142">
        <v>0</v>
      </c>
      <c r="E353" s="142">
        <v>0</v>
      </c>
      <c r="F353" s="142">
        <v>0</v>
      </c>
      <c r="G353" s="142">
        <v>0</v>
      </c>
      <c r="H353" s="142">
        <v>0</v>
      </c>
      <c r="I353" s="154">
        <f>SUM(H353-G353)</f>
        <v>0</v>
      </c>
    </row>
    <row r="354" spans="1:9" ht="15" customHeight="1" thickBot="1" x14ac:dyDescent="0.25">
      <c r="A354" s="152">
        <v>232</v>
      </c>
      <c r="B354" s="152" t="s">
        <v>75</v>
      </c>
      <c r="C354" s="142">
        <v>0</v>
      </c>
      <c r="D354" s="142">
        <v>0</v>
      </c>
      <c r="E354" s="142">
        <v>0</v>
      </c>
      <c r="F354" s="142">
        <v>0</v>
      </c>
      <c r="G354" s="142">
        <v>0</v>
      </c>
      <c r="H354" s="142">
        <v>0</v>
      </c>
      <c r="I354" s="154">
        <f>SUM(H354-G354)</f>
        <v>0</v>
      </c>
    </row>
    <row r="355" spans="1:9" ht="20.45" customHeight="1" thickBot="1" x14ac:dyDescent="0.25">
      <c r="A355" s="156" t="s">
        <v>35</v>
      </c>
      <c r="B355" s="157" t="s">
        <v>36</v>
      </c>
      <c r="C355" s="158">
        <f t="shared" ref="C355:H355" si="92">SUM(C352:C354)</f>
        <v>0</v>
      </c>
      <c r="D355" s="158">
        <f t="shared" si="92"/>
        <v>0</v>
      </c>
      <c r="E355" s="158">
        <f t="shared" si="92"/>
        <v>0</v>
      </c>
      <c r="F355" s="158">
        <f t="shared" si="92"/>
        <v>0</v>
      </c>
      <c r="G355" s="158">
        <f t="shared" si="92"/>
        <v>0</v>
      </c>
      <c r="H355" s="158">
        <f t="shared" si="92"/>
        <v>0</v>
      </c>
      <c r="I355" s="154">
        <f>SUM(H352-G354)</f>
        <v>0</v>
      </c>
    </row>
    <row r="356" spans="1:9" ht="13.5" thickBot="1" x14ac:dyDescent="0.25">
      <c r="A356" s="156" t="s">
        <v>37</v>
      </c>
      <c r="B356" s="160" t="s">
        <v>38</v>
      </c>
      <c r="C356" s="161">
        <f>C351+C355</f>
        <v>1984</v>
      </c>
      <c r="D356" s="161">
        <f t="shared" ref="D356" si="93">D351+D355</f>
        <v>0</v>
      </c>
      <c r="E356" s="161">
        <f t="shared" ref="E356" si="94">E351+E355</f>
        <v>0</v>
      </c>
      <c r="F356" s="161">
        <f t="shared" ref="F356" si="95">F351+F355</f>
        <v>3469</v>
      </c>
      <c r="G356" s="161">
        <f t="shared" ref="G356" si="96">G351+G355</f>
        <v>3469</v>
      </c>
      <c r="H356" s="161">
        <f t="shared" ref="H356" si="97">H351+H355</f>
        <v>985</v>
      </c>
      <c r="I356" s="154">
        <f>SUM(H356-G356)</f>
        <v>-2484</v>
      </c>
    </row>
    <row r="357" spans="1:9" ht="13.5" thickBot="1" x14ac:dyDescent="0.25">
      <c r="A357" s="245" t="s">
        <v>77</v>
      </c>
      <c r="B357" s="246"/>
      <c r="C357" s="162">
        <f t="shared" ref="C357:H357" si="98">C347+C351</f>
        <v>9782</v>
      </c>
      <c r="D357" s="162">
        <f t="shared" si="98"/>
        <v>7596</v>
      </c>
      <c r="E357" s="162">
        <f t="shared" si="98"/>
        <v>7596</v>
      </c>
      <c r="F357" s="162">
        <f t="shared" si="98"/>
        <v>11965</v>
      </c>
      <c r="G357" s="162">
        <f t="shared" si="98"/>
        <v>11965</v>
      </c>
      <c r="H357" s="162">
        <f t="shared" si="98"/>
        <v>9063</v>
      </c>
      <c r="I357" s="162">
        <f t="shared" ref="I357" si="99">I347+I351</f>
        <v>-2902</v>
      </c>
    </row>
    <row r="359" spans="1:9" ht="19.149999999999999" customHeight="1" x14ac:dyDescent="0.2">
      <c r="A359" s="244" t="s">
        <v>66</v>
      </c>
      <c r="B359" s="164" t="s">
        <v>20</v>
      </c>
      <c r="C359" s="165" t="s">
        <v>302</v>
      </c>
      <c r="D359" s="244" t="s">
        <v>19</v>
      </c>
      <c r="E359" s="166" t="s">
        <v>283</v>
      </c>
    </row>
    <row r="360" spans="1:9" ht="21" customHeight="1" x14ac:dyDescent="0.2">
      <c r="A360" s="244"/>
      <c r="B360" s="164" t="s">
        <v>21</v>
      </c>
      <c r="C360" s="165"/>
      <c r="D360" s="244"/>
      <c r="E360" s="166"/>
    </row>
    <row r="361" spans="1:9" ht="22.9" customHeight="1" x14ac:dyDescent="0.2">
      <c r="A361" s="244"/>
      <c r="B361" s="164" t="s">
        <v>22</v>
      </c>
      <c r="C361" s="165" t="str">
        <f>C319</f>
        <v>08.02.2022</v>
      </c>
      <c r="D361" s="244"/>
      <c r="E361" s="166" t="str">
        <f>E319</f>
        <v>08.02.2022</v>
      </c>
    </row>
    <row r="371" spans="1:11" ht="15.75" customHeight="1" x14ac:dyDescent="0.2">
      <c r="A371" s="150"/>
      <c r="B371" s="192"/>
      <c r="C371" s="138"/>
      <c r="D371" s="138"/>
      <c r="E371" s="138"/>
      <c r="F371" s="138"/>
      <c r="G371" s="138"/>
      <c r="H371" s="138"/>
      <c r="I371" s="179" t="s">
        <v>68</v>
      </c>
    </row>
    <row r="372" spans="1:11" ht="24.95" customHeight="1" thickBot="1" x14ac:dyDescent="0.25">
      <c r="A372" s="194" t="s">
        <v>25</v>
      </c>
      <c r="B372" s="195" t="s">
        <v>115</v>
      </c>
      <c r="C372" s="247"/>
      <c r="D372" s="247"/>
      <c r="E372" s="247"/>
      <c r="F372" s="247"/>
      <c r="G372" s="247"/>
      <c r="H372" s="180" t="s">
        <v>26</v>
      </c>
      <c r="I372" s="181">
        <v>2137001</v>
      </c>
    </row>
    <row r="373" spans="1:11" ht="24.95" customHeight="1" thickBot="1" x14ac:dyDescent="0.25">
      <c r="A373" s="196" t="s">
        <v>28</v>
      </c>
      <c r="B373" s="143" t="s">
        <v>101</v>
      </c>
      <c r="C373" s="248"/>
      <c r="D373" s="248"/>
      <c r="E373" s="248"/>
      <c r="F373" s="248"/>
      <c r="G373" s="248"/>
      <c r="H373" s="141" t="s">
        <v>69</v>
      </c>
      <c r="I373" s="167">
        <v>5100</v>
      </c>
    </row>
    <row r="374" spans="1:11" ht="24.95" customHeight="1" thickBot="1" x14ac:dyDescent="0.25">
      <c r="A374" s="197" t="s">
        <v>30</v>
      </c>
      <c r="B374" s="240" t="s">
        <v>17</v>
      </c>
      <c r="C374" s="145">
        <v>-1</v>
      </c>
      <c r="D374" s="145">
        <v>-2</v>
      </c>
      <c r="E374" s="145">
        <v>-3</v>
      </c>
      <c r="F374" s="146">
        <v>-4</v>
      </c>
      <c r="G374" s="146">
        <v>-5</v>
      </c>
      <c r="H374" s="146">
        <v>-6</v>
      </c>
      <c r="I374" s="168" t="s">
        <v>11</v>
      </c>
    </row>
    <row r="375" spans="1:11" ht="24.95" customHeight="1" x14ac:dyDescent="0.2">
      <c r="A375" s="197"/>
      <c r="B375" s="241"/>
      <c r="C375" s="148" t="s">
        <v>12</v>
      </c>
      <c r="D375" s="148" t="s">
        <v>13</v>
      </c>
      <c r="E375" s="148" t="s">
        <v>14</v>
      </c>
      <c r="F375" s="148" t="s">
        <v>14</v>
      </c>
      <c r="G375" s="148" t="s">
        <v>14</v>
      </c>
      <c r="H375" s="148" t="s">
        <v>31</v>
      </c>
      <c r="I375" s="184" t="s">
        <v>15</v>
      </c>
    </row>
    <row r="376" spans="1:11" ht="24.95" customHeight="1" x14ac:dyDescent="0.25">
      <c r="A376" s="197"/>
      <c r="B376" s="242"/>
      <c r="C376" s="128" t="s">
        <v>292</v>
      </c>
      <c r="D376" s="128" t="s">
        <v>293</v>
      </c>
      <c r="E376" s="128" t="s">
        <v>294</v>
      </c>
      <c r="F376" s="128" t="s">
        <v>116</v>
      </c>
      <c r="G376" s="150" t="s">
        <v>32</v>
      </c>
      <c r="H376" s="128" t="s">
        <v>33</v>
      </c>
      <c r="I376" s="186"/>
      <c r="K376"/>
    </row>
    <row r="377" spans="1:11" ht="24.95" customHeight="1" x14ac:dyDescent="0.25">
      <c r="A377" s="198"/>
      <c r="B377" s="249"/>
      <c r="C377" s="190"/>
      <c r="D377" s="188"/>
      <c r="E377" s="188"/>
      <c r="F377" s="188"/>
      <c r="G377" s="189"/>
      <c r="H377" s="190" t="s">
        <v>34</v>
      </c>
      <c r="I377" s="191"/>
      <c r="K377"/>
    </row>
    <row r="378" spans="1:11" ht="15" customHeight="1" thickBot="1" x14ac:dyDescent="0.3">
      <c r="A378" s="152">
        <v>600</v>
      </c>
      <c r="B378" s="153" t="s">
        <v>117</v>
      </c>
      <c r="C378" s="171">
        <f>3587+989</f>
        <v>4576</v>
      </c>
      <c r="D378" s="193">
        <f>4350+1044</f>
        <v>5394</v>
      </c>
      <c r="E378" s="193">
        <f t="shared" ref="E378" si="100">4350+1044</f>
        <v>5394</v>
      </c>
      <c r="F378" s="171">
        <f>4350+544</f>
        <v>4894</v>
      </c>
      <c r="G378" s="171">
        <f>4350+544</f>
        <v>4894</v>
      </c>
      <c r="H378" s="171">
        <f>4350+292</f>
        <v>4642</v>
      </c>
      <c r="I378" s="154">
        <f t="shared" ref="I378:I391" si="101">SUM(H378-G378)</f>
        <v>-252</v>
      </c>
      <c r="K378"/>
    </row>
    <row r="379" spans="1:11" ht="15" customHeight="1" thickBot="1" x14ac:dyDescent="0.3">
      <c r="A379" s="152">
        <v>601</v>
      </c>
      <c r="B379" s="153" t="s">
        <v>118</v>
      </c>
      <c r="C379" s="142">
        <v>747</v>
      </c>
      <c r="D379" s="159">
        <f>877</f>
        <v>877</v>
      </c>
      <c r="E379" s="159">
        <f>877</f>
        <v>877</v>
      </c>
      <c r="F379" s="142">
        <f>877</f>
        <v>877</v>
      </c>
      <c r="G379" s="142">
        <f>877</f>
        <v>877</v>
      </c>
      <c r="H379" s="142">
        <v>824</v>
      </c>
      <c r="I379" s="154">
        <f t="shared" si="101"/>
        <v>-53</v>
      </c>
      <c r="K379"/>
    </row>
    <row r="380" spans="1:11" ht="15" customHeight="1" thickBot="1" x14ac:dyDescent="0.3">
      <c r="A380" s="152">
        <v>602</v>
      </c>
      <c r="B380" s="153" t="s">
        <v>119</v>
      </c>
      <c r="C380" s="142">
        <f>1502+158</f>
        <v>1660</v>
      </c>
      <c r="D380" s="159">
        <f>1400+2616</f>
        <v>4016</v>
      </c>
      <c r="E380" s="159">
        <f t="shared" ref="E380" si="102">1400+2616</f>
        <v>4016</v>
      </c>
      <c r="F380" s="142">
        <f>1400+2616</f>
        <v>4016</v>
      </c>
      <c r="G380" s="142">
        <f>1400+2616</f>
        <v>4016</v>
      </c>
      <c r="H380" s="142">
        <f>1191+935</f>
        <v>2126</v>
      </c>
      <c r="I380" s="154">
        <f t="shared" si="101"/>
        <v>-1890</v>
      </c>
      <c r="K380"/>
    </row>
    <row r="381" spans="1:11" ht="15" customHeight="1" thickBot="1" x14ac:dyDescent="0.3">
      <c r="A381" s="152">
        <v>603</v>
      </c>
      <c r="B381" s="153" t="s">
        <v>120</v>
      </c>
      <c r="C381" s="142">
        <v>0</v>
      </c>
      <c r="D381" s="142"/>
      <c r="E381" s="142"/>
      <c r="F381" s="142"/>
      <c r="G381" s="142"/>
      <c r="H381" s="142"/>
      <c r="I381" s="154">
        <f t="shared" si="101"/>
        <v>0</v>
      </c>
      <c r="K381"/>
    </row>
    <row r="382" spans="1:11" ht="15" customHeight="1" thickBot="1" x14ac:dyDescent="0.3">
      <c r="A382" s="152">
        <v>604</v>
      </c>
      <c r="B382" s="153" t="s">
        <v>121</v>
      </c>
      <c r="C382" s="142">
        <v>0</v>
      </c>
      <c r="D382" s="142"/>
      <c r="E382" s="142"/>
      <c r="F382" s="142"/>
      <c r="G382" s="142"/>
      <c r="H382" s="142"/>
      <c r="I382" s="154">
        <f t="shared" si="101"/>
        <v>0</v>
      </c>
      <c r="K382"/>
    </row>
    <row r="383" spans="1:11" ht="15" customHeight="1" thickBot="1" x14ac:dyDescent="0.3">
      <c r="A383" s="152">
        <v>605</v>
      </c>
      <c r="B383" s="153" t="s">
        <v>122</v>
      </c>
      <c r="C383" s="142">
        <v>0</v>
      </c>
      <c r="D383" s="142"/>
      <c r="E383" s="142"/>
      <c r="F383" s="142"/>
      <c r="G383" s="142"/>
      <c r="H383" s="142"/>
      <c r="I383" s="154">
        <f t="shared" si="101"/>
        <v>0</v>
      </c>
      <c r="K383"/>
    </row>
    <row r="384" spans="1:11" ht="15" customHeight="1" thickBot="1" x14ac:dyDescent="0.3">
      <c r="A384" s="152">
        <v>606</v>
      </c>
      <c r="B384" s="153" t="s">
        <v>70</v>
      </c>
      <c r="C384" s="142">
        <v>0</v>
      </c>
      <c r="D384" s="142"/>
      <c r="E384" s="142"/>
      <c r="F384" s="142"/>
      <c r="G384" s="142"/>
      <c r="H384" s="142"/>
      <c r="I384" s="154">
        <f t="shared" si="101"/>
        <v>0</v>
      </c>
      <c r="K384"/>
    </row>
    <row r="385" spans="1:11" ht="15" customHeight="1" thickBot="1" x14ac:dyDescent="0.3">
      <c r="A385" s="152">
        <v>609</v>
      </c>
      <c r="B385" s="153" t="s">
        <v>123</v>
      </c>
      <c r="C385" s="142">
        <v>0</v>
      </c>
      <c r="D385" s="142"/>
      <c r="E385" s="142"/>
      <c r="F385" s="142"/>
      <c r="G385" s="142"/>
      <c r="H385" s="142"/>
      <c r="I385" s="154">
        <f t="shared" si="101"/>
        <v>0</v>
      </c>
      <c r="K385"/>
    </row>
    <row r="386" spans="1:11" ht="15" customHeight="1" thickBot="1" x14ac:dyDescent="0.3">
      <c r="A386" s="152">
        <v>650</v>
      </c>
      <c r="B386" s="153" t="s">
        <v>124</v>
      </c>
      <c r="C386" s="142">
        <v>0</v>
      </c>
      <c r="D386" s="142"/>
      <c r="E386" s="142"/>
      <c r="F386" s="142"/>
      <c r="G386" s="142"/>
      <c r="H386" s="142"/>
      <c r="I386" s="154">
        <f t="shared" si="101"/>
        <v>0</v>
      </c>
      <c r="K386"/>
    </row>
    <row r="387" spans="1:11" ht="15" customHeight="1" thickBot="1" x14ac:dyDescent="0.3">
      <c r="A387" s="152" t="s">
        <v>71</v>
      </c>
      <c r="B387" s="153" t="s">
        <v>72</v>
      </c>
      <c r="C387" s="142">
        <v>0</v>
      </c>
      <c r="D387" s="142"/>
      <c r="E387" s="142"/>
      <c r="F387" s="142"/>
      <c r="G387" s="142"/>
      <c r="H387" s="142"/>
      <c r="I387" s="154">
        <f t="shared" si="101"/>
        <v>0</v>
      </c>
      <c r="K387"/>
    </row>
    <row r="388" spans="1:11" ht="26.25" thickBot="1" x14ac:dyDescent="0.3">
      <c r="A388" s="156" t="s">
        <v>35</v>
      </c>
      <c r="B388" s="157" t="s">
        <v>73</v>
      </c>
      <c r="C388" s="158">
        <f>SUM(C378:C387)</f>
        <v>6983</v>
      </c>
      <c r="D388" s="158">
        <f t="shared" ref="D388" si="103">SUM(D378:D387)</f>
        <v>10287</v>
      </c>
      <c r="E388" s="158">
        <f t="shared" ref="E388" si="104">SUM(E378:E387)</f>
        <v>10287</v>
      </c>
      <c r="F388" s="158">
        <f t="shared" ref="F388" si="105">SUM(F378:F387)</f>
        <v>9787</v>
      </c>
      <c r="G388" s="158">
        <f t="shared" ref="G388" si="106">SUM(G378:G387)</f>
        <v>9787</v>
      </c>
      <c r="H388" s="158">
        <f t="shared" ref="H388" si="107">SUM(H378:H387)</f>
        <v>7592</v>
      </c>
      <c r="I388" s="154">
        <f t="shared" si="101"/>
        <v>-2195</v>
      </c>
      <c r="K388"/>
    </row>
    <row r="389" spans="1:11" ht="15" customHeight="1" thickBot="1" x14ac:dyDescent="0.25">
      <c r="A389" s="152">
        <v>230</v>
      </c>
      <c r="B389" s="152" t="s">
        <v>74</v>
      </c>
      <c r="C389" s="142">
        <v>0</v>
      </c>
      <c r="D389" s="142">
        <v>0</v>
      </c>
      <c r="E389" s="142">
        <v>0</v>
      </c>
      <c r="F389" s="142">
        <v>0</v>
      </c>
      <c r="G389" s="142">
        <v>0</v>
      </c>
      <c r="H389" s="142">
        <v>0</v>
      </c>
      <c r="I389" s="154">
        <f t="shared" si="101"/>
        <v>0</v>
      </c>
    </row>
    <row r="390" spans="1:11" ht="15" customHeight="1" thickBot="1" x14ac:dyDescent="0.25">
      <c r="A390" s="152">
        <v>231</v>
      </c>
      <c r="B390" s="152" t="s">
        <v>125</v>
      </c>
      <c r="C390" s="142">
        <v>947</v>
      </c>
      <c r="D390" s="159">
        <v>1000</v>
      </c>
      <c r="E390" s="159">
        <v>1000</v>
      </c>
      <c r="F390" s="142">
        <v>1000</v>
      </c>
      <c r="G390" s="142">
        <v>1000</v>
      </c>
      <c r="H390" s="142">
        <v>0</v>
      </c>
      <c r="I390" s="154">
        <f t="shared" si="101"/>
        <v>-1000</v>
      </c>
    </row>
    <row r="391" spans="1:11" ht="15" customHeight="1" thickBot="1" x14ac:dyDescent="0.25">
      <c r="A391" s="152">
        <v>232</v>
      </c>
      <c r="B391" s="152" t="s">
        <v>75</v>
      </c>
      <c r="C391" s="142">
        <v>0</v>
      </c>
      <c r="D391" s="142"/>
      <c r="E391" s="142"/>
      <c r="F391" s="142"/>
      <c r="G391" s="142"/>
      <c r="H391" s="142"/>
      <c r="I391" s="154">
        <f t="shared" si="101"/>
        <v>0</v>
      </c>
    </row>
    <row r="392" spans="1:11" ht="21" customHeight="1" thickBot="1" x14ac:dyDescent="0.25">
      <c r="A392" s="156" t="s">
        <v>35</v>
      </c>
      <c r="B392" s="157" t="s">
        <v>76</v>
      </c>
      <c r="C392" s="158">
        <f t="shared" ref="C392:I392" si="108">SUM(C389:C391)</f>
        <v>947</v>
      </c>
      <c r="D392" s="158">
        <f t="shared" si="108"/>
        <v>1000</v>
      </c>
      <c r="E392" s="158">
        <f t="shared" si="108"/>
        <v>1000</v>
      </c>
      <c r="F392" s="158">
        <f t="shared" si="108"/>
        <v>1000</v>
      </c>
      <c r="G392" s="158">
        <f t="shared" si="108"/>
        <v>1000</v>
      </c>
      <c r="H392" s="158">
        <f t="shared" si="108"/>
        <v>0</v>
      </c>
      <c r="I392" s="158">
        <f t="shared" si="108"/>
        <v>-1000</v>
      </c>
    </row>
    <row r="393" spans="1:11" ht="15" customHeight="1" thickBot="1" x14ac:dyDescent="0.25">
      <c r="A393" s="152">
        <v>230</v>
      </c>
      <c r="B393" s="152" t="s">
        <v>74</v>
      </c>
      <c r="C393" s="142">
        <v>0</v>
      </c>
      <c r="D393" s="142">
        <v>0</v>
      </c>
      <c r="E393" s="142">
        <v>0</v>
      </c>
      <c r="F393" s="142">
        <v>0</v>
      </c>
      <c r="G393" s="142">
        <v>0</v>
      </c>
      <c r="H393" s="142">
        <v>0</v>
      </c>
      <c r="I393" s="154">
        <f>SUM(H393-G393)</f>
        <v>0</v>
      </c>
    </row>
    <row r="394" spans="1:11" ht="15" customHeight="1" thickBot="1" x14ac:dyDescent="0.25">
      <c r="A394" s="152">
        <v>231</v>
      </c>
      <c r="B394" s="152" t="s">
        <v>125</v>
      </c>
      <c r="C394" s="142">
        <v>0</v>
      </c>
      <c r="D394" s="142">
        <v>0</v>
      </c>
      <c r="E394" s="142">
        <v>0</v>
      </c>
      <c r="F394" s="142">
        <v>0</v>
      </c>
      <c r="G394" s="142">
        <v>0</v>
      </c>
      <c r="H394" s="142">
        <v>0</v>
      </c>
      <c r="I394" s="154">
        <f>SUM(H394-G394)</f>
        <v>0</v>
      </c>
    </row>
    <row r="395" spans="1:11" ht="15" customHeight="1" thickBot="1" x14ac:dyDescent="0.25">
      <c r="A395" s="152">
        <v>232</v>
      </c>
      <c r="B395" s="152" t="s">
        <v>75</v>
      </c>
      <c r="C395" s="142">
        <v>0</v>
      </c>
      <c r="D395" s="142">
        <v>0</v>
      </c>
      <c r="E395" s="142">
        <v>0</v>
      </c>
      <c r="F395" s="142">
        <v>0</v>
      </c>
      <c r="G395" s="142">
        <v>0</v>
      </c>
      <c r="H395" s="142">
        <v>0</v>
      </c>
      <c r="I395" s="154">
        <f>SUM(H395-G395)</f>
        <v>0</v>
      </c>
    </row>
    <row r="396" spans="1:11" ht="20.45" customHeight="1" thickBot="1" x14ac:dyDescent="0.25">
      <c r="A396" s="156" t="s">
        <v>35</v>
      </c>
      <c r="B396" s="157" t="s">
        <v>36</v>
      </c>
      <c r="C396" s="158">
        <f t="shared" ref="C396:H396" si="109">SUM(C393:C395)</f>
        <v>0</v>
      </c>
      <c r="D396" s="158">
        <f t="shared" si="109"/>
        <v>0</v>
      </c>
      <c r="E396" s="158">
        <f t="shared" si="109"/>
        <v>0</v>
      </c>
      <c r="F396" s="158">
        <f t="shared" si="109"/>
        <v>0</v>
      </c>
      <c r="G396" s="158">
        <f t="shared" si="109"/>
        <v>0</v>
      </c>
      <c r="H396" s="158">
        <f t="shared" si="109"/>
        <v>0</v>
      </c>
      <c r="I396" s="154">
        <f>SUM(H393-G395)</f>
        <v>0</v>
      </c>
    </row>
    <row r="397" spans="1:11" ht="13.5" thickBot="1" x14ac:dyDescent="0.25">
      <c r="A397" s="156" t="s">
        <v>37</v>
      </c>
      <c r="B397" s="160" t="s">
        <v>38</v>
      </c>
      <c r="C397" s="161">
        <f>C392+C396</f>
        <v>947</v>
      </c>
      <c r="D397" s="161">
        <f t="shared" ref="D397" si="110">D392+D396</f>
        <v>1000</v>
      </c>
      <c r="E397" s="161">
        <f t="shared" ref="E397" si="111">E392+E396</f>
        <v>1000</v>
      </c>
      <c r="F397" s="161">
        <f t="shared" ref="F397" si="112">F392+F396</f>
        <v>1000</v>
      </c>
      <c r="G397" s="161">
        <f t="shared" ref="G397" si="113">G392+G396</f>
        <v>1000</v>
      </c>
      <c r="H397" s="161">
        <f t="shared" ref="H397" si="114">H392+H396</f>
        <v>0</v>
      </c>
      <c r="I397" s="154">
        <f>SUM(H397-G397)</f>
        <v>-1000</v>
      </c>
    </row>
    <row r="398" spans="1:11" ht="13.5" thickBot="1" x14ac:dyDescent="0.25">
      <c r="A398" s="245" t="s">
        <v>77</v>
      </c>
      <c r="B398" s="246"/>
      <c r="C398" s="162">
        <f t="shared" ref="C398:H398" si="115">C388+C392</f>
        <v>7930</v>
      </c>
      <c r="D398" s="162">
        <f t="shared" si="115"/>
        <v>11287</v>
      </c>
      <c r="E398" s="162">
        <f t="shared" si="115"/>
        <v>11287</v>
      </c>
      <c r="F398" s="162">
        <f t="shared" si="115"/>
        <v>10787</v>
      </c>
      <c r="G398" s="162">
        <f t="shared" si="115"/>
        <v>10787</v>
      </c>
      <c r="H398" s="162">
        <f t="shared" si="115"/>
        <v>7592</v>
      </c>
      <c r="I398" s="163">
        <f>SUM(H398-G398)</f>
        <v>-3195</v>
      </c>
    </row>
    <row r="400" spans="1:11" ht="19.149999999999999" customHeight="1" x14ac:dyDescent="0.2">
      <c r="A400" s="244" t="s">
        <v>66</v>
      </c>
      <c r="B400" s="164" t="s">
        <v>20</v>
      </c>
      <c r="C400" s="165" t="s">
        <v>302</v>
      </c>
      <c r="D400" s="244" t="s">
        <v>19</v>
      </c>
      <c r="E400" s="166" t="s">
        <v>283</v>
      </c>
    </row>
    <row r="401" spans="1:9" ht="21" customHeight="1" x14ac:dyDescent="0.2">
      <c r="A401" s="244"/>
      <c r="B401" s="164" t="s">
        <v>21</v>
      </c>
      <c r="C401" s="165"/>
      <c r="D401" s="244"/>
      <c r="E401" s="166"/>
    </row>
    <row r="402" spans="1:9" ht="22.9" customHeight="1" x14ac:dyDescent="0.2">
      <c r="A402" s="244"/>
      <c r="B402" s="164" t="s">
        <v>22</v>
      </c>
      <c r="C402" s="165" t="str">
        <f>C361</f>
        <v>08.02.2022</v>
      </c>
      <c r="D402" s="244"/>
      <c r="E402" s="166" t="str">
        <f>E361</f>
        <v>08.02.2022</v>
      </c>
    </row>
    <row r="411" spans="1:9" ht="8.25" customHeight="1" x14ac:dyDescent="0.2"/>
    <row r="412" spans="1:9" ht="15.75" customHeight="1" x14ac:dyDescent="0.2">
      <c r="A412" s="150"/>
      <c r="B412" s="192"/>
      <c r="C412" s="138"/>
      <c r="D412" s="138"/>
      <c r="E412" s="138"/>
      <c r="F412" s="138"/>
      <c r="G412" s="138"/>
      <c r="H412" s="138"/>
      <c r="I412" s="179" t="s">
        <v>68</v>
      </c>
    </row>
    <row r="413" spans="1:9" ht="24.95" customHeight="1" thickBot="1" x14ac:dyDescent="0.25">
      <c r="A413" s="194" t="s">
        <v>25</v>
      </c>
      <c r="B413" s="195" t="s">
        <v>115</v>
      </c>
      <c r="C413" s="247"/>
      <c r="D413" s="247"/>
      <c r="E413" s="247"/>
      <c r="F413" s="247"/>
      <c r="G413" s="247"/>
      <c r="H413" s="180" t="s">
        <v>26</v>
      </c>
      <c r="I413" s="181">
        <v>2137001</v>
      </c>
    </row>
    <row r="414" spans="1:9" ht="24.95" customHeight="1" thickBot="1" x14ac:dyDescent="0.25">
      <c r="A414" s="196" t="s">
        <v>28</v>
      </c>
      <c r="B414" s="143" t="s">
        <v>102</v>
      </c>
      <c r="C414" s="248"/>
      <c r="D414" s="248"/>
      <c r="E414" s="248"/>
      <c r="F414" s="248"/>
      <c r="G414" s="248"/>
      <c r="H414" s="141" t="s">
        <v>69</v>
      </c>
      <c r="I414" s="167">
        <v>6260</v>
      </c>
    </row>
    <row r="415" spans="1:9" ht="24.95" customHeight="1" thickBot="1" x14ac:dyDescent="0.25">
      <c r="A415" s="197" t="s">
        <v>30</v>
      </c>
      <c r="B415" s="240" t="s">
        <v>17</v>
      </c>
      <c r="C415" s="145">
        <v>-1</v>
      </c>
      <c r="D415" s="145">
        <v>-2</v>
      </c>
      <c r="E415" s="145">
        <v>-3</v>
      </c>
      <c r="F415" s="146">
        <v>-4</v>
      </c>
      <c r="G415" s="146">
        <v>-5</v>
      </c>
      <c r="H415" s="146">
        <v>-6</v>
      </c>
      <c r="I415" s="168" t="s">
        <v>11</v>
      </c>
    </row>
    <row r="416" spans="1:9" ht="24.95" customHeight="1" x14ac:dyDescent="0.2">
      <c r="A416" s="197"/>
      <c r="B416" s="241"/>
      <c r="C416" s="148" t="s">
        <v>12</v>
      </c>
      <c r="D416" s="148" t="s">
        <v>13</v>
      </c>
      <c r="E416" s="148" t="s">
        <v>14</v>
      </c>
      <c r="F416" s="148" t="s">
        <v>14</v>
      </c>
      <c r="G416" s="148" t="s">
        <v>14</v>
      </c>
      <c r="H416" s="148" t="s">
        <v>31</v>
      </c>
      <c r="I416" s="184" t="s">
        <v>15</v>
      </c>
    </row>
    <row r="417" spans="1:9" ht="24.95" customHeight="1" x14ac:dyDescent="0.2">
      <c r="A417" s="197"/>
      <c r="B417" s="242"/>
      <c r="C417" s="128" t="s">
        <v>292</v>
      </c>
      <c r="D417" s="128" t="s">
        <v>293</v>
      </c>
      <c r="E417" s="128" t="s">
        <v>294</v>
      </c>
      <c r="F417" s="128" t="s">
        <v>116</v>
      </c>
      <c r="G417" s="150" t="s">
        <v>32</v>
      </c>
      <c r="H417" s="128" t="s">
        <v>33</v>
      </c>
      <c r="I417" s="186"/>
    </row>
    <row r="418" spans="1:9" ht="24.95" customHeight="1" x14ac:dyDescent="0.2">
      <c r="A418" s="198"/>
      <c r="B418" s="249"/>
      <c r="C418" s="190"/>
      <c r="D418" s="188"/>
      <c r="E418" s="188"/>
      <c r="F418" s="188"/>
      <c r="G418" s="189"/>
      <c r="H418" s="190" t="s">
        <v>34</v>
      </c>
      <c r="I418" s="191"/>
    </row>
    <row r="419" spans="1:9" ht="15" customHeight="1" thickBot="1" x14ac:dyDescent="0.25">
      <c r="A419" s="152">
        <v>600</v>
      </c>
      <c r="B419" s="153" t="s">
        <v>117</v>
      </c>
      <c r="C419" s="171">
        <f>11755+5975</f>
        <v>17730</v>
      </c>
      <c r="D419" s="193">
        <f>10021+8865</f>
        <v>18886</v>
      </c>
      <c r="E419" s="193">
        <f t="shared" ref="E419" si="116">10021+8865</f>
        <v>18886</v>
      </c>
      <c r="F419" s="171">
        <f>11771+10265</f>
        <v>22036</v>
      </c>
      <c r="G419" s="171">
        <f>11771+10265</f>
        <v>22036</v>
      </c>
      <c r="H419" s="171">
        <f>11771+9457</f>
        <v>21228</v>
      </c>
      <c r="I419" s="154">
        <f t="shared" ref="I419:I432" si="117">SUM(H419-G419)</f>
        <v>-808</v>
      </c>
    </row>
    <row r="420" spans="1:9" ht="15" customHeight="1" thickBot="1" x14ac:dyDescent="0.25">
      <c r="A420" s="152">
        <v>601</v>
      </c>
      <c r="B420" s="153" t="s">
        <v>118</v>
      </c>
      <c r="C420" s="142">
        <f>1550+1431</f>
        <v>2981</v>
      </c>
      <c r="D420" s="159">
        <f>2025+1161</f>
        <v>3186</v>
      </c>
      <c r="E420" s="159">
        <f t="shared" ref="E420" si="118">2025+1161</f>
        <v>3186</v>
      </c>
      <c r="F420" s="142">
        <f>2525+1271</f>
        <v>3796</v>
      </c>
      <c r="G420" s="142">
        <f>2525+1271</f>
        <v>3796</v>
      </c>
      <c r="H420" s="142">
        <f>2525+1145</f>
        <v>3670</v>
      </c>
      <c r="I420" s="154">
        <f t="shared" si="117"/>
        <v>-126</v>
      </c>
    </row>
    <row r="421" spans="1:9" ht="15" customHeight="1" thickBot="1" x14ac:dyDescent="0.25">
      <c r="A421" s="152">
        <v>602</v>
      </c>
      <c r="B421" s="153" t="s">
        <v>119</v>
      </c>
      <c r="C421" s="142">
        <f>2044+2052</f>
        <v>4096</v>
      </c>
      <c r="D421" s="159">
        <f>5408+4500</f>
        <v>9908</v>
      </c>
      <c r="E421" s="159">
        <f t="shared" ref="E421" si="119">5408+4500</f>
        <v>9908</v>
      </c>
      <c r="F421" s="142">
        <f>5708+4500+322</f>
        <v>10530</v>
      </c>
      <c r="G421" s="142">
        <f>5708+4500+322</f>
        <v>10530</v>
      </c>
      <c r="H421" s="142">
        <f>4831+712+322</f>
        <v>5865</v>
      </c>
      <c r="I421" s="154">
        <f t="shared" si="117"/>
        <v>-4665</v>
      </c>
    </row>
    <row r="422" spans="1:9" ht="15" customHeight="1" thickBot="1" x14ac:dyDescent="0.25">
      <c r="A422" s="152">
        <v>603</v>
      </c>
      <c r="B422" s="153" t="s">
        <v>120</v>
      </c>
      <c r="C422" s="142">
        <v>0</v>
      </c>
      <c r="D422" s="159">
        <v>0</v>
      </c>
      <c r="E422" s="159">
        <v>0</v>
      </c>
      <c r="F422" s="142"/>
      <c r="G422" s="142"/>
      <c r="H422" s="142"/>
      <c r="I422" s="154">
        <f t="shared" si="117"/>
        <v>0</v>
      </c>
    </row>
    <row r="423" spans="1:9" ht="15" customHeight="1" thickBot="1" x14ac:dyDescent="0.25">
      <c r="A423" s="152">
        <v>604</v>
      </c>
      <c r="B423" s="153" t="s">
        <v>121</v>
      </c>
      <c r="C423" s="142">
        <v>0</v>
      </c>
      <c r="D423" s="159">
        <v>0</v>
      </c>
      <c r="E423" s="159">
        <v>100</v>
      </c>
      <c r="F423" s="142"/>
      <c r="G423" s="142"/>
      <c r="H423" s="142"/>
      <c r="I423" s="154">
        <f t="shared" si="117"/>
        <v>0</v>
      </c>
    </row>
    <row r="424" spans="1:9" ht="15" customHeight="1" thickBot="1" x14ac:dyDescent="0.25">
      <c r="A424" s="152">
        <v>605</v>
      </c>
      <c r="B424" s="153" t="s">
        <v>122</v>
      </c>
      <c r="C424" s="142">
        <v>0</v>
      </c>
      <c r="D424" s="159">
        <v>0</v>
      </c>
      <c r="E424" s="159">
        <v>0</v>
      </c>
      <c r="F424" s="142"/>
      <c r="G424" s="142"/>
      <c r="H424" s="142"/>
      <c r="I424" s="154">
        <f t="shared" si="117"/>
        <v>0</v>
      </c>
    </row>
    <row r="425" spans="1:9" ht="15" customHeight="1" thickBot="1" x14ac:dyDescent="0.25">
      <c r="A425" s="152">
        <v>606</v>
      </c>
      <c r="B425" s="153" t="s">
        <v>70</v>
      </c>
      <c r="C425" s="142">
        <v>40</v>
      </c>
      <c r="D425" s="159">
        <v>0</v>
      </c>
      <c r="E425" s="159">
        <v>0</v>
      </c>
      <c r="F425" s="142"/>
      <c r="G425" s="142"/>
      <c r="H425" s="142"/>
      <c r="I425" s="154">
        <f t="shared" si="117"/>
        <v>0</v>
      </c>
    </row>
    <row r="426" spans="1:9" ht="15" customHeight="1" thickBot="1" x14ac:dyDescent="0.25">
      <c r="A426" s="152">
        <v>609</v>
      </c>
      <c r="B426" s="153" t="s">
        <v>123</v>
      </c>
      <c r="C426" s="142">
        <v>0</v>
      </c>
      <c r="D426" s="159">
        <v>0</v>
      </c>
      <c r="E426" s="159">
        <v>0</v>
      </c>
      <c r="F426" s="142">
        <v>0</v>
      </c>
      <c r="G426" s="142">
        <v>0</v>
      </c>
      <c r="H426" s="142">
        <v>0</v>
      </c>
      <c r="I426" s="154">
        <f t="shared" si="117"/>
        <v>0</v>
      </c>
    </row>
    <row r="427" spans="1:9" ht="15" customHeight="1" thickBot="1" x14ac:dyDescent="0.25">
      <c r="A427" s="152">
        <v>650</v>
      </c>
      <c r="B427" s="153" t="s">
        <v>124</v>
      </c>
      <c r="C427" s="142">
        <v>0</v>
      </c>
      <c r="D427" s="159">
        <v>0</v>
      </c>
      <c r="E427" s="159">
        <v>0</v>
      </c>
      <c r="F427" s="142">
        <v>0</v>
      </c>
      <c r="G427" s="142">
        <v>0</v>
      </c>
      <c r="H427" s="142">
        <v>0</v>
      </c>
      <c r="I427" s="154">
        <f t="shared" si="117"/>
        <v>0</v>
      </c>
    </row>
    <row r="428" spans="1:9" ht="15" customHeight="1" thickBot="1" x14ac:dyDescent="0.25">
      <c r="A428" s="152" t="s">
        <v>71</v>
      </c>
      <c r="B428" s="153" t="s">
        <v>72</v>
      </c>
      <c r="C428" s="142">
        <v>0</v>
      </c>
      <c r="D428" s="142">
        <v>0</v>
      </c>
      <c r="E428" s="142">
        <v>0</v>
      </c>
      <c r="F428" s="142">
        <v>0</v>
      </c>
      <c r="G428" s="142">
        <v>0</v>
      </c>
      <c r="H428" s="142">
        <v>0</v>
      </c>
      <c r="I428" s="154">
        <f t="shared" si="117"/>
        <v>0</v>
      </c>
    </row>
    <row r="429" spans="1:9" ht="26.25" thickBot="1" x14ac:dyDescent="0.25">
      <c r="A429" s="156" t="s">
        <v>35</v>
      </c>
      <c r="B429" s="157" t="s">
        <v>73</v>
      </c>
      <c r="C429" s="158">
        <f t="shared" ref="C429:H429" si="120">SUM(C419:C428)</f>
        <v>24847</v>
      </c>
      <c r="D429" s="158">
        <f t="shared" si="120"/>
        <v>31980</v>
      </c>
      <c r="E429" s="158">
        <f t="shared" si="120"/>
        <v>32080</v>
      </c>
      <c r="F429" s="158">
        <f t="shared" si="120"/>
        <v>36362</v>
      </c>
      <c r="G429" s="158">
        <f t="shared" si="120"/>
        <v>36362</v>
      </c>
      <c r="H429" s="158">
        <f t="shared" si="120"/>
        <v>30763</v>
      </c>
      <c r="I429" s="154">
        <f t="shared" si="117"/>
        <v>-5599</v>
      </c>
    </row>
    <row r="430" spans="1:9" ht="15" customHeight="1" thickBot="1" x14ac:dyDescent="0.25">
      <c r="A430" s="152">
        <v>230</v>
      </c>
      <c r="B430" s="152" t="s">
        <v>74</v>
      </c>
      <c r="C430" s="142">
        <v>0</v>
      </c>
      <c r="D430" s="142">
        <v>0</v>
      </c>
      <c r="E430" s="142">
        <v>0</v>
      </c>
      <c r="F430" s="142">
        <v>0</v>
      </c>
      <c r="G430" s="142">
        <v>0</v>
      </c>
      <c r="H430" s="142">
        <v>0</v>
      </c>
      <c r="I430" s="154">
        <f t="shared" si="117"/>
        <v>0</v>
      </c>
    </row>
    <row r="431" spans="1:9" ht="15" customHeight="1" thickBot="1" x14ac:dyDescent="0.25">
      <c r="A431" s="152">
        <v>231</v>
      </c>
      <c r="B431" s="152" t="s">
        <v>125</v>
      </c>
      <c r="C431" s="142">
        <f>26395</f>
        <v>26395</v>
      </c>
      <c r="D431" s="159">
        <f>30905+4484</f>
        <v>35389</v>
      </c>
      <c r="E431" s="159">
        <f t="shared" ref="E431" si="121">600+30905</f>
        <v>31505</v>
      </c>
      <c r="F431" s="142">
        <f>30484+4734</f>
        <v>35218</v>
      </c>
      <c r="G431" s="142">
        <f>30484+4734</f>
        <v>35218</v>
      </c>
      <c r="H431" s="142">
        <f>28332+1521</f>
        <v>29853</v>
      </c>
      <c r="I431" s="154">
        <f t="shared" si="117"/>
        <v>-5365</v>
      </c>
    </row>
    <row r="432" spans="1:9" ht="15" customHeight="1" thickBot="1" x14ac:dyDescent="0.25">
      <c r="A432" s="152">
        <v>232</v>
      </c>
      <c r="B432" s="152" t="s">
        <v>75</v>
      </c>
      <c r="C432" s="142">
        <v>0</v>
      </c>
      <c r="D432" s="142">
        <v>0</v>
      </c>
      <c r="E432" s="142">
        <v>0</v>
      </c>
      <c r="F432" s="142">
        <v>0</v>
      </c>
      <c r="G432" s="142">
        <v>0</v>
      </c>
      <c r="H432" s="142">
        <v>0</v>
      </c>
      <c r="I432" s="154">
        <f t="shared" si="117"/>
        <v>0</v>
      </c>
    </row>
    <row r="433" spans="1:9" ht="21" customHeight="1" thickBot="1" x14ac:dyDescent="0.25">
      <c r="A433" s="156" t="s">
        <v>35</v>
      </c>
      <c r="B433" s="157" t="s">
        <v>76</v>
      </c>
      <c r="C433" s="158">
        <f t="shared" ref="C433:I433" si="122">SUM(C430:C432)</f>
        <v>26395</v>
      </c>
      <c r="D433" s="158">
        <f t="shared" si="122"/>
        <v>35389</v>
      </c>
      <c r="E433" s="158">
        <f t="shared" si="122"/>
        <v>31505</v>
      </c>
      <c r="F433" s="158">
        <f t="shared" si="122"/>
        <v>35218</v>
      </c>
      <c r="G433" s="158">
        <f t="shared" si="122"/>
        <v>35218</v>
      </c>
      <c r="H433" s="158">
        <f t="shared" si="122"/>
        <v>29853</v>
      </c>
      <c r="I433" s="158">
        <f t="shared" si="122"/>
        <v>-5365</v>
      </c>
    </row>
    <row r="434" spans="1:9" ht="15" customHeight="1" thickBot="1" x14ac:dyDescent="0.25">
      <c r="A434" s="152">
        <v>230</v>
      </c>
      <c r="B434" s="152" t="s">
        <v>74</v>
      </c>
      <c r="C434" s="142">
        <v>0</v>
      </c>
      <c r="D434" s="142">
        <v>0</v>
      </c>
      <c r="E434" s="142">
        <v>0</v>
      </c>
      <c r="F434" s="142">
        <v>0</v>
      </c>
      <c r="G434" s="142">
        <v>0</v>
      </c>
      <c r="H434" s="142">
        <v>0</v>
      </c>
      <c r="I434" s="154">
        <f>SUM(H434-G434)</f>
        <v>0</v>
      </c>
    </row>
    <row r="435" spans="1:9" ht="15" customHeight="1" thickBot="1" x14ac:dyDescent="0.25">
      <c r="A435" s="152">
        <v>231</v>
      </c>
      <c r="B435" s="152" t="s">
        <v>125</v>
      </c>
      <c r="C435" s="142">
        <v>0</v>
      </c>
      <c r="D435" s="142">
        <v>0</v>
      </c>
      <c r="E435" s="142">
        <v>0</v>
      </c>
      <c r="F435" s="142">
        <v>0</v>
      </c>
      <c r="G435" s="142">
        <v>0</v>
      </c>
      <c r="H435" s="142">
        <v>0</v>
      </c>
      <c r="I435" s="154">
        <f>SUM(H435-G435)</f>
        <v>0</v>
      </c>
    </row>
    <row r="436" spans="1:9" ht="15" customHeight="1" thickBot="1" x14ac:dyDescent="0.25">
      <c r="A436" s="152">
        <v>232</v>
      </c>
      <c r="B436" s="152" t="s">
        <v>75</v>
      </c>
      <c r="C436" s="142">
        <v>0</v>
      </c>
      <c r="D436" s="142">
        <v>0</v>
      </c>
      <c r="E436" s="142">
        <v>0</v>
      </c>
      <c r="F436" s="142">
        <v>0</v>
      </c>
      <c r="G436" s="142">
        <v>0</v>
      </c>
      <c r="H436" s="142">
        <v>0</v>
      </c>
      <c r="I436" s="154">
        <f>SUM(H436-G436)</f>
        <v>0</v>
      </c>
    </row>
    <row r="437" spans="1:9" ht="20.45" customHeight="1" thickBot="1" x14ac:dyDescent="0.25">
      <c r="A437" s="156" t="s">
        <v>35</v>
      </c>
      <c r="B437" s="157" t="s">
        <v>36</v>
      </c>
      <c r="C437" s="158">
        <f t="shared" ref="C437:H437" si="123">SUM(C434:C436)</f>
        <v>0</v>
      </c>
      <c r="D437" s="158">
        <f t="shared" si="123"/>
        <v>0</v>
      </c>
      <c r="E437" s="158">
        <f t="shared" si="123"/>
        <v>0</v>
      </c>
      <c r="F437" s="158">
        <f t="shared" si="123"/>
        <v>0</v>
      </c>
      <c r="G437" s="158">
        <f t="shared" si="123"/>
        <v>0</v>
      </c>
      <c r="H437" s="158">
        <f t="shared" si="123"/>
        <v>0</v>
      </c>
      <c r="I437" s="154">
        <f>SUM(H434-G436)</f>
        <v>0</v>
      </c>
    </row>
    <row r="438" spans="1:9" ht="13.5" thickBot="1" x14ac:dyDescent="0.25">
      <c r="A438" s="156" t="s">
        <v>37</v>
      </c>
      <c r="B438" s="160" t="s">
        <v>38</v>
      </c>
      <c r="C438" s="161">
        <f>C433+C437</f>
        <v>26395</v>
      </c>
      <c r="D438" s="161">
        <f t="shared" ref="D438" si="124">D433+D437</f>
        <v>35389</v>
      </c>
      <c r="E438" s="161">
        <f t="shared" ref="E438" si="125">E433+E437</f>
        <v>31505</v>
      </c>
      <c r="F438" s="161">
        <f t="shared" ref="F438" si="126">F433+F437</f>
        <v>35218</v>
      </c>
      <c r="G438" s="161">
        <f t="shared" ref="G438" si="127">G433+G437</f>
        <v>35218</v>
      </c>
      <c r="H438" s="161">
        <f t="shared" ref="H438" si="128">H433+H437</f>
        <v>29853</v>
      </c>
      <c r="I438" s="154">
        <f>SUM(H438-G438)</f>
        <v>-5365</v>
      </c>
    </row>
    <row r="439" spans="1:9" ht="13.5" thickBot="1" x14ac:dyDescent="0.25">
      <c r="A439" s="245" t="s">
        <v>77</v>
      </c>
      <c r="B439" s="246"/>
      <c r="C439" s="162">
        <f t="shared" ref="C439:H439" si="129">C429+C433</f>
        <v>51242</v>
      </c>
      <c r="D439" s="162">
        <f t="shared" si="129"/>
        <v>67369</v>
      </c>
      <c r="E439" s="162">
        <f t="shared" si="129"/>
        <v>63585</v>
      </c>
      <c r="F439" s="162">
        <f t="shared" si="129"/>
        <v>71580</v>
      </c>
      <c r="G439" s="162">
        <f t="shared" si="129"/>
        <v>71580</v>
      </c>
      <c r="H439" s="162">
        <f t="shared" si="129"/>
        <v>60616</v>
      </c>
      <c r="I439" s="163">
        <f>SUM(H439-G439)</f>
        <v>-10964</v>
      </c>
    </row>
    <row r="441" spans="1:9" ht="19.149999999999999" customHeight="1" x14ac:dyDescent="0.2">
      <c r="A441" s="244" t="s">
        <v>66</v>
      </c>
      <c r="B441" s="164" t="s">
        <v>20</v>
      </c>
      <c r="C441" s="165" t="s">
        <v>302</v>
      </c>
      <c r="D441" s="244" t="s">
        <v>19</v>
      </c>
      <c r="E441" s="166" t="s">
        <v>283</v>
      </c>
    </row>
    <row r="442" spans="1:9" ht="21" customHeight="1" x14ac:dyDescent="0.2">
      <c r="A442" s="244"/>
      <c r="B442" s="164" t="s">
        <v>21</v>
      </c>
      <c r="C442" s="165"/>
      <c r="D442" s="244"/>
      <c r="E442" s="166"/>
    </row>
    <row r="443" spans="1:9" ht="22.9" customHeight="1" x14ac:dyDescent="0.2">
      <c r="A443" s="244"/>
      <c r="B443" s="164" t="s">
        <v>22</v>
      </c>
      <c r="C443" s="165" t="str">
        <f>C402</f>
        <v>08.02.2022</v>
      </c>
      <c r="D443" s="244"/>
      <c r="E443" s="166" t="str">
        <f>E402</f>
        <v>08.02.2022</v>
      </c>
    </row>
    <row r="454" spans="1:9" ht="15.75" customHeight="1" x14ac:dyDescent="0.2">
      <c r="A454" s="150"/>
      <c r="B454" s="192"/>
      <c r="C454" s="138"/>
      <c r="D454" s="138"/>
      <c r="E454" s="138"/>
      <c r="F454" s="138"/>
      <c r="G454" s="138"/>
      <c r="H454" s="138"/>
      <c r="I454" s="179" t="s">
        <v>68</v>
      </c>
    </row>
    <row r="455" spans="1:9" ht="24.95" customHeight="1" thickBot="1" x14ac:dyDescent="0.25">
      <c r="A455" s="194" t="s">
        <v>25</v>
      </c>
      <c r="B455" s="195" t="s">
        <v>115</v>
      </c>
      <c r="C455" s="247"/>
      <c r="D455" s="247"/>
      <c r="E455" s="247"/>
      <c r="F455" s="247"/>
      <c r="G455" s="247"/>
      <c r="H455" s="180" t="s">
        <v>26</v>
      </c>
      <c r="I455" s="181">
        <v>2137001</v>
      </c>
    </row>
    <row r="456" spans="1:9" ht="24.95" customHeight="1" thickBot="1" x14ac:dyDescent="0.25">
      <c r="A456" s="196" t="s">
        <v>28</v>
      </c>
      <c r="B456" s="143" t="s">
        <v>103</v>
      </c>
      <c r="C456" s="248"/>
      <c r="D456" s="248"/>
      <c r="E456" s="248"/>
      <c r="F456" s="248"/>
      <c r="G456" s="248"/>
      <c r="H456" s="141" t="s">
        <v>69</v>
      </c>
      <c r="I456" s="167">
        <v>6370</v>
      </c>
    </row>
    <row r="457" spans="1:9" ht="24.95" customHeight="1" thickBot="1" x14ac:dyDescent="0.25">
      <c r="A457" s="197" t="s">
        <v>30</v>
      </c>
      <c r="B457" s="240" t="s">
        <v>17</v>
      </c>
      <c r="C457" s="145">
        <v>-1</v>
      </c>
      <c r="D457" s="145">
        <v>-2</v>
      </c>
      <c r="E457" s="145">
        <v>-3</v>
      </c>
      <c r="F457" s="145">
        <v>-4</v>
      </c>
      <c r="G457" s="145">
        <v>-5</v>
      </c>
      <c r="H457" s="145">
        <v>-6</v>
      </c>
      <c r="I457" s="168" t="s">
        <v>11</v>
      </c>
    </row>
    <row r="458" spans="1:9" ht="24.95" customHeight="1" x14ac:dyDescent="0.2">
      <c r="A458" s="197"/>
      <c r="B458" s="242"/>
      <c r="C458" s="149" t="s">
        <v>12</v>
      </c>
      <c r="D458" s="149" t="s">
        <v>13</v>
      </c>
      <c r="E458" s="149" t="s">
        <v>14</v>
      </c>
      <c r="F458" s="149" t="s">
        <v>14</v>
      </c>
      <c r="G458" s="149" t="s">
        <v>14</v>
      </c>
      <c r="H458" s="149" t="s">
        <v>31</v>
      </c>
      <c r="I458" s="169" t="s">
        <v>15</v>
      </c>
    </row>
    <row r="459" spans="1:9" ht="24.95" customHeight="1" x14ac:dyDescent="0.2">
      <c r="A459" s="197"/>
      <c r="B459" s="242"/>
      <c r="C459" s="149" t="s">
        <v>292</v>
      </c>
      <c r="D459" s="149" t="s">
        <v>293</v>
      </c>
      <c r="E459" s="149" t="s">
        <v>294</v>
      </c>
      <c r="F459" s="149" t="s">
        <v>116</v>
      </c>
      <c r="G459" s="149" t="s">
        <v>32</v>
      </c>
      <c r="H459" s="149" t="s">
        <v>33</v>
      </c>
      <c r="I459" s="170"/>
    </row>
    <row r="460" spans="1:9" ht="24.95" customHeight="1" x14ac:dyDescent="0.2">
      <c r="A460" s="198"/>
      <c r="B460" s="249"/>
      <c r="C460" s="149"/>
      <c r="D460" s="149"/>
      <c r="E460" s="149"/>
      <c r="F460" s="149"/>
      <c r="G460" s="149"/>
      <c r="H460" s="149" t="s">
        <v>34</v>
      </c>
      <c r="I460" s="199"/>
    </row>
    <row r="461" spans="1:9" ht="15" customHeight="1" thickBot="1" x14ac:dyDescent="0.25">
      <c r="A461" s="152">
        <v>600</v>
      </c>
      <c r="B461" s="153" t="s">
        <v>117</v>
      </c>
      <c r="C461" s="171">
        <v>0</v>
      </c>
      <c r="D461" s="171">
        <v>0</v>
      </c>
      <c r="E461" s="171">
        <v>0</v>
      </c>
      <c r="F461" s="171">
        <v>0</v>
      </c>
      <c r="G461" s="171">
        <v>0</v>
      </c>
      <c r="H461" s="171">
        <v>0</v>
      </c>
      <c r="I461" s="154">
        <f t="shared" ref="I461:I474" si="130">SUM(H461-G461)</f>
        <v>0</v>
      </c>
    </row>
    <row r="462" spans="1:9" ht="15" customHeight="1" thickBot="1" x14ac:dyDescent="0.25">
      <c r="A462" s="152">
        <v>601</v>
      </c>
      <c r="B462" s="153" t="s">
        <v>118</v>
      </c>
      <c r="C462" s="142">
        <v>0</v>
      </c>
      <c r="D462" s="142">
        <v>0</v>
      </c>
      <c r="E462" s="142">
        <v>0</v>
      </c>
      <c r="F462" s="142">
        <v>0</v>
      </c>
      <c r="G462" s="142">
        <v>0</v>
      </c>
      <c r="H462" s="142">
        <v>0</v>
      </c>
      <c r="I462" s="154">
        <f t="shared" si="130"/>
        <v>0</v>
      </c>
    </row>
    <row r="463" spans="1:9" ht="15" customHeight="1" thickBot="1" x14ac:dyDescent="0.25">
      <c r="A463" s="152">
        <v>602</v>
      </c>
      <c r="B463" s="153" t="s">
        <v>119</v>
      </c>
      <c r="C463" s="142">
        <v>0</v>
      </c>
      <c r="D463" s="142">
        <v>0</v>
      </c>
      <c r="E463" s="142">
        <v>0</v>
      </c>
      <c r="F463" s="142">
        <v>0</v>
      </c>
      <c r="G463" s="142">
        <v>0</v>
      </c>
      <c r="H463" s="142">
        <v>0</v>
      </c>
      <c r="I463" s="154">
        <f t="shared" si="130"/>
        <v>0</v>
      </c>
    </row>
    <row r="464" spans="1:9" ht="15" customHeight="1" thickBot="1" x14ac:dyDescent="0.25">
      <c r="A464" s="152">
        <v>603</v>
      </c>
      <c r="B464" s="153" t="s">
        <v>120</v>
      </c>
      <c r="C464" s="142">
        <v>0</v>
      </c>
      <c r="D464" s="142">
        <v>0</v>
      </c>
      <c r="E464" s="142">
        <v>0</v>
      </c>
      <c r="F464" s="142">
        <v>0</v>
      </c>
      <c r="G464" s="142">
        <v>0</v>
      </c>
      <c r="H464" s="142">
        <v>0</v>
      </c>
      <c r="I464" s="154">
        <f t="shared" si="130"/>
        <v>0</v>
      </c>
    </row>
    <row r="465" spans="1:9" ht="15" customHeight="1" thickBot="1" x14ac:dyDescent="0.25">
      <c r="A465" s="152">
        <v>604</v>
      </c>
      <c r="B465" s="153" t="s">
        <v>121</v>
      </c>
      <c r="C465" s="142">
        <v>0</v>
      </c>
      <c r="D465" s="142">
        <v>0</v>
      </c>
      <c r="E465" s="142">
        <v>0</v>
      </c>
      <c r="F465" s="142">
        <v>0</v>
      </c>
      <c r="G465" s="142">
        <v>0</v>
      </c>
      <c r="H465" s="142">
        <v>0</v>
      </c>
      <c r="I465" s="154">
        <f t="shared" si="130"/>
        <v>0</v>
      </c>
    </row>
    <row r="466" spans="1:9" ht="15" customHeight="1" thickBot="1" x14ac:dyDescent="0.25">
      <c r="A466" s="152">
        <v>605</v>
      </c>
      <c r="B466" s="153" t="s">
        <v>122</v>
      </c>
      <c r="C466" s="142">
        <v>0</v>
      </c>
      <c r="D466" s="142">
        <v>0</v>
      </c>
      <c r="E466" s="142">
        <v>0</v>
      </c>
      <c r="F466" s="142">
        <v>0</v>
      </c>
      <c r="G466" s="142">
        <v>0</v>
      </c>
      <c r="H466" s="142">
        <v>0</v>
      </c>
      <c r="I466" s="154">
        <f t="shared" si="130"/>
        <v>0</v>
      </c>
    </row>
    <row r="467" spans="1:9" ht="15" customHeight="1" thickBot="1" x14ac:dyDescent="0.25">
      <c r="A467" s="152">
        <v>606</v>
      </c>
      <c r="B467" s="153" t="s">
        <v>70</v>
      </c>
      <c r="C467" s="142">
        <v>0</v>
      </c>
      <c r="D467" s="142">
        <v>0</v>
      </c>
      <c r="E467" s="142">
        <v>0</v>
      </c>
      <c r="F467" s="142">
        <v>0</v>
      </c>
      <c r="G467" s="142">
        <v>0</v>
      </c>
      <c r="H467" s="142">
        <v>0</v>
      </c>
      <c r="I467" s="154">
        <f t="shared" si="130"/>
        <v>0</v>
      </c>
    </row>
    <row r="468" spans="1:9" ht="15" customHeight="1" thickBot="1" x14ac:dyDescent="0.25">
      <c r="A468" s="152">
        <v>609</v>
      </c>
      <c r="B468" s="153" t="s">
        <v>123</v>
      </c>
      <c r="C468" s="142">
        <v>0</v>
      </c>
      <c r="D468" s="142">
        <v>0</v>
      </c>
      <c r="E468" s="142">
        <v>0</v>
      </c>
      <c r="F468" s="142">
        <v>0</v>
      </c>
      <c r="G468" s="142">
        <v>0</v>
      </c>
      <c r="H468" s="142">
        <v>0</v>
      </c>
      <c r="I468" s="154">
        <f t="shared" si="130"/>
        <v>0</v>
      </c>
    </row>
    <row r="469" spans="1:9" ht="15" customHeight="1" thickBot="1" x14ac:dyDescent="0.25">
      <c r="A469" s="152">
        <v>650</v>
      </c>
      <c r="B469" s="153" t="s">
        <v>124</v>
      </c>
      <c r="C469" s="142">
        <v>0</v>
      </c>
      <c r="D469" s="142">
        <v>0</v>
      </c>
      <c r="E469" s="142">
        <v>0</v>
      </c>
      <c r="F469" s="142">
        <v>0</v>
      </c>
      <c r="G469" s="142">
        <v>0</v>
      </c>
      <c r="H469" s="142">
        <v>0</v>
      </c>
      <c r="I469" s="154">
        <f t="shared" si="130"/>
        <v>0</v>
      </c>
    </row>
    <row r="470" spans="1:9" ht="15" customHeight="1" thickBot="1" x14ac:dyDescent="0.25">
      <c r="A470" s="152" t="s">
        <v>71</v>
      </c>
      <c r="B470" s="153" t="s">
        <v>72</v>
      </c>
      <c r="C470" s="142">
        <v>0</v>
      </c>
      <c r="D470" s="142">
        <v>0</v>
      </c>
      <c r="E470" s="142">
        <v>0</v>
      </c>
      <c r="F470" s="142">
        <v>0</v>
      </c>
      <c r="G470" s="142">
        <v>0</v>
      </c>
      <c r="H470" s="142">
        <v>0</v>
      </c>
      <c r="I470" s="154">
        <f t="shared" si="130"/>
        <v>0</v>
      </c>
    </row>
    <row r="471" spans="1:9" ht="26.25" thickBot="1" x14ac:dyDescent="0.25">
      <c r="A471" s="156" t="s">
        <v>35</v>
      </c>
      <c r="B471" s="157" t="s">
        <v>73</v>
      </c>
      <c r="C471" s="158">
        <v>0</v>
      </c>
      <c r="D471" s="158">
        <v>0</v>
      </c>
      <c r="E471" s="158">
        <v>0</v>
      </c>
      <c r="F471" s="158">
        <v>0</v>
      </c>
      <c r="G471" s="158">
        <v>0</v>
      </c>
      <c r="H471" s="158">
        <v>0</v>
      </c>
      <c r="I471" s="154">
        <f t="shared" si="130"/>
        <v>0</v>
      </c>
    </row>
    <row r="472" spans="1:9" ht="15" customHeight="1" thickBot="1" x14ac:dyDescent="0.25">
      <c r="A472" s="152">
        <v>230</v>
      </c>
      <c r="B472" s="152" t="s">
        <v>74</v>
      </c>
      <c r="C472" s="142">
        <v>0</v>
      </c>
      <c r="D472" s="142">
        <v>0</v>
      </c>
      <c r="E472" s="142">
        <v>0</v>
      </c>
      <c r="F472" s="142">
        <v>0</v>
      </c>
      <c r="G472" s="142">
        <v>0</v>
      </c>
      <c r="H472" s="142">
        <v>0</v>
      </c>
      <c r="I472" s="154">
        <f t="shared" si="130"/>
        <v>0</v>
      </c>
    </row>
    <row r="473" spans="1:9" ht="15" customHeight="1" thickBot="1" x14ac:dyDescent="0.25">
      <c r="A473" s="152">
        <v>231</v>
      </c>
      <c r="B473" s="152" t="s">
        <v>125</v>
      </c>
      <c r="C473" s="142">
        <v>0</v>
      </c>
      <c r="D473" s="142">
        <v>0</v>
      </c>
      <c r="E473" s="142">
        <v>0</v>
      </c>
      <c r="F473" s="142">
        <v>126409</v>
      </c>
      <c r="G473" s="142">
        <v>126409</v>
      </c>
      <c r="H473" s="142">
        <v>126246</v>
      </c>
      <c r="I473" s="154">
        <f t="shared" si="130"/>
        <v>-163</v>
      </c>
    </row>
    <row r="474" spans="1:9" ht="15" customHeight="1" thickBot="1" x14ac:dyDescent="0.25">
      <c r="A474" s="152">
        <v>232</v>
      </c>
      <c r="B474" s="152" t="s">
        <v>75</v>
      </c>
      <c r="C474" s="142">
        <v>0</v>
      </c>
      <c r="D474" s="142">
        <v>0</v>
      </c>
      <c r="E474" s="142">
        <v>0</v>
      </c>
      <c r="F474" s="142">
        <v>0</v>
      </c>
      <c r="G474" s="142">
        <v>0</v>
      </c>
      <c r="H474" s="142">
        <v>0</v>
      </c>
      <c r="I474" s="154">
        <f t="shared" si="130"/>
        <v>0</v>
      </c>
    </row>
    <row r="475" spans="1:9" ht="21" customHeight="1" thickBot="1" x14ac:dyDescent="0.25">
      <c r="A475" s="156" t="s">
        <v>35</v>
      </c>
      <c r="B475" s="157" t="s">
        <v>76</v>
      </c>
      <c r="C475" s="158">
        <f t="shared" ref="C475:H475" si="131">SUM(C472:C474)</f>
        <v>0</v>
      </c>
      <c r="D475" s="158">
        <f t="shared" si="131"/>
        <v>0</v>
      </c>
      <c r="E475" s="158">
        <f t="shared" si="131"/>
        <v>0</v>
      </c>
      <c r="F475" s="158">
        <f t="shared" si="131"/>
        <v>126409</v>
      </c>
      <c r="G475" s="158">
        <f t="shared" si="131"/>
        <v>126409</v>
      </c>
      <c r="H475" s="158">
        <f t="shared" si="131"/>
        <v>126246</v>
      </c>
      <c r="I475" s="154">
        <f>SUM(H472-G474)</f>
        <v>0</v>
      </c>
    </row>
    <row r="476" spans="1:9" ht="15" customHeight="1" thickBot="1" x14ac:dyDescent="0.25">
      <c r="A476" s="152">
        <v>230</v>
      </c>
      <c r="B476" s="152" t="s">
        <v>74</v>
      </c>
      <c r="C476" s="142">
        <v>0</v>
      </c>
      <c r="D476" s="142">
        <v>0</v>
      </c>
      <c r="E476" s="142">
        <v>0</v>
      </c>
      <c r="F476" s="142">
        <v>0</v>
      </c>
      <c r="G476" s="142">
        <v>0</v>
      </c>
      <c r="H476" s="142">
        <v>0</v>
      </c>
      <c r="I476" s="154">
        <f>SUM(H476-G476)</f>
        <v>0</v>
      </c>
    </row>
    <row r="477" spans="1:9" ht="15" customHeight="1" thickBot="1" x14ac:dyDescent="0.25">
      <c r="A477" s="152">
        <v>231</v>
      </c>
      <c r="B477" s="152" t="s">
        <v>125</v>
      </c>
      <c r="C477" s="142">
        <v>0</v>
      </c>
      <c r="D477" s="142">
        <v>0</v>
      </c>
      <c r="E477" s="142">
        <v>0</v>
      </c>
      <c r="F477" s="142">
        <v>0</v>
      </c>
      <c r="G477" s="142">
        <v>0</v>
      </c>
      <c r="H477" s="142">
        <v>0</v>
      </c>
      <c r="I477" s="154">
        <f>SUM(H477-G477)</f>
        <v>0</v>
      </c>
    </row>
    <row r="478" spans="1:9" ht="15" customHeight="1" thickBot="1" x14ac:dyDescent="0.25">
      <c r="A478" s="152">
        <v>232</v>
      </c>
      <c r="B478" s="152" t="s">
        <v>75</v>
      </c>
      <c r="C478" s="142">
        <v>0</v>
      </c>
      <c r="D478" s="142">
        <v>0</v>
      </c>
      <c r="E478" s="142">
        <v>0</v>
      </c>
      <c r="F478" s="142">
        <v>0</v>
      </c>
      <c r="G478" s="142">
        <v>0</v>
      </c>
      <c r="H478" s="142">
        <v>0</v>
      </c>
      <c r="I478" s="154">
        <f>SUM(H478-G478)</f>
        <v>0</v>
      </c>
    </row>
    <row r="479" spans="1:9" ht="20.45" customHeight="1" thickBot="1" x14ac:dyDescent="0.25">
      <c r="A479" s="156" t="s">
        <v>35</v>
      </c>
      <c r="B479" s="157" t="s">
        <v>36</v>
      </c>
      <c r="C479" s="158">
        <f t="shared" ref="C479:H479" si="132">SUM(C476:C478)</f>
        <v>0</v>
      </c>
      <c r="D479" s="158">
        <f t="shared" si="132"/>
        <v>0</v>
      </c>
      <c r="E479" s="158">
        <f t="shared" si="132"/>
        <v>0</v>
      </c>
      <c r="F479" s="158">
        <f t="shared" si="132"/>
        <v>0</v>
      </c>
      <c r="G479" s="158">
        <f t="shared" si="132"/>
        <v>0</v>
      </c>
      <c r="H479" s="158">
        <f t="shared" si="132"/>
        <v>0</v>
      </c>
      <c r="I479" s="154">
        <f>SUM(H476-G478)</f>
        <v>0</v>
      </c>
    </row>
    <row r="480" spans="1:9" ht="13.5" thickBot="1" x14ac:dyDescent="0.25">
      <c r="A480" s="156" t="s">
        <v>37</v>
      </c>
      <c r="B480" s="160" t="s">
        <v>38</v>
      </c>
      <c r="C480" s="161">
        <f>C475</f>
        <v>0</v>
      </c>
      <c r="D480" s="161">
        <f t="shared" ref="D480:I480" si="133">D475</f>
        <v>0</v>
      </c>
      <c r="E480" s="161">
        <f t="shared" si="133"/>
        <v>0</v>
      </c>
      <c r="F480" s="161">
        <f t="shared" si="133"/>
        <v>126409</v>
      </c>
      <c r="G480" s="161">
        <f t="shared" si="133"/>
        <v>126409</v>
      </c>
      <c r="H480" s="161">
        <f t="shared" si="133"/>
        <v>126246</v>
      </c>
      <c r="I480" s="161">
        <f t="shared" si="133"/>
        <v>0</v>
      </c>
    </row>
    <row r="481" spans="1:9" ht="13.5" thickBot="1" x14ac:dyDescent="0.25">
      <c r="A481" s="245" t="s">
        <v>77</v>
      </c>
      <c r="B481" s="246"/>
      <c r="C481" s="162">
        <f>C480+C471</f>
        <v>0</v>
      </c>
      <c r="D481" s="162">
        <f t="shared" ref="D481:I481" si="134">D480+D471</f>
        <v>0</v>
      </c>
      <c r="E481" s="162">
        <f t="shared" si="134"/>
        <v>0</v>
      </c>
      <c r="F481" s="162">
        <f t="shared" si="134"/>
        <v>126409</v>
      </c>
      <c r="G481" s="162">
        <f t="shared" si="134"/>
        <v>126409</v>
      </c>
      <c r="H481" s="162">
        <f t="shared" si="134"/>
        <v>126246</v>
      </c>
      <c r="I481" s="162">
        <f t="shared" si="134"/>
        <v>0</v>
      </c>
    </row>
    <row r="483" spans="1:9" ht="19.149999999999999" customHeight="1" x14ac:dyDescent="0.2">
      <c r="A483" s="244" t="s">
        <v>66</v>
      </c>
      <c r="B483" s="164" t="s">
        <v>20</v>
      </c>
      <c r="C483" s="165" t="s">
        <v>302</v>
      </c>
      <c r="D483" s="244" t="s">
        <v>19</v>
      </c>
      <c r="E483" s="166" t="s">
        <v>283</v>
      </c>
    </row>
    <row r="484" spans="1:9" ht="21" customHeight="1" x14ac:dyDescent="0.2">
      <c r="A484" s="244"/>
      <c r="B484" s="164" t="s">
        <v>21</v>
      </c>
      <c r="C484" s="165"/>
      <c r="D484" s="244"/>
      <c r="E484" s="166"/>
    </row>
    <row r="485" spans="1:9" ht="22.9" customHeight="1" x14ac:dyDescent="0.2">
      <c r="A485" s="244"/>
      <c r="B485" s="164" t="s">
        <v>22</v>
      </c>
      <c r="C485" s="165" t="str">
        <f>C443</f>
        <v>08.02.2022</v>
      </c>
      <c r="D485" s="244"/>
      <c r="E485" s="166" t="str">
        <f>E443</f>
        <v>08.02.2022</v>
      </c>
    </row>
    <row r="493" spans="1:9" ht="15.75" customHeight="1" x14ac:dyDescent="0.2">
      <c r="A493" s="150"/>
      <c r="B493" s="192"/>
      <c r="C493" s="138"/>
      <c r="D493" s="138"/>
      <c r="E493" s="138"/>
      <c r="F493" s="138"/>
      <c r="G493" s="138"/>
      <c r="H493" s="138"/>
      <c r="I493" s="179" t="s">
        <v>68</v>
      </c>
    </row>
    <row r="494" spans="1:9" ht="24.95" customHeight="1" thickBot="1" x14ac:dyDescent="0.25">
      <c r="A494" s="194" t="s">
        <v>25</v>
      </c>
      <c r="B494" s="195" t="s">
        <v>115</v>
      </c>
      <c r="C494" s="247"/>
      <c r="D494" s="247"/>
      <c r="E494" s="247"/>
      <c r="F494" s="247"/>
      <c r="G494" s="247"/>
      <c r="H494" s="180" t="s">
        <v>26</v>
      </c>
      <c r="I494" s="181">
        <v>2137001</v>
      </c>
    </row>
    <row r="495" spans="1:9" ht="24.95" customHeight="1" thickBot="1" x14ac:dyDescent="0.25">
      <c r="A495" s="196" t="s">
        <v>28</v>
      </c>
      <c r="B495" s="143" t="s">
        <v>104</v>
      </c>
      <c r="C495" s="248"/>
      <c r="D495" s="248"/>
      <c r="E495" s="248"/>
      <c r="F495" s="248"/>
      <c r="G495" s="248"/>
      <c r="H495" s="141" t="s">
        <v>69</v>
      </c>
      <c r="I495" s="167">
        <v>6440</v>
      </c>
    </row>
    <row r="496" spans="1:9" ht="24.95" customHeight="1" thickBot="1" x14ac:dyDescent="0.25">
      <c r="A496" s="197" t="s">
        <v>30</v>
      </c>
      <c r="B496" s="240" t="s">
        <v>17</v>
      </c>
      <c r="C496" s="145">
        <v>-1</v>
      </c>
      <c r="D496" s="145">
        <v>-2</v>
      </c>
      <c r="E496" s="145">
        <v>-3</v>
      </c>
      <c r="F496" s="146">
        <v>-4</v>
      </c>
      <c r="G496" s="146">
        <v>-5</v>
      </c>
      <c r="H496" s="146">
        <v>-6</v>
      </c>
      <c r="I496" s="168" t="s">
        <v>11</v>
      </c>
    </row>
    <row r="497" spans="1:9" ht="24.95" customHeight="1" x14ac:dyDescent="0.2">
      <c r="A497" s="197"/>
      <c r="B497" s="241"/>
      <c r="C497" s="148" t="s">
        <v>12</v>
      </c>
      <c r="D497" s="148" t="s">
        <v>13</v>
      </c>
      <c r="E497" s="148" t="s">
        <v>14</v>
      </c>
      <c r="F497" s="148" t="s">
        <v>14</v>
      </c>
      <c r="G497" s="148" t="s">
        <v>14</v>
      </c>
      <c r="H497" s="148" t="s">
        <v>31</v>
      </c>
      <c r="I497" s="184" t="s">
        <v>15</v>
      </c>
    </row>
    <row r="498" spans="1:9" ht="24.95" customHeight="1" x14ac:dyDescent="0.2">
      <c r="A498" s="197"/>
      <c r="B498" s="242"/>
      <c r="C498" s="128" t="s">
        <v>292</v>
      </c>
      <c r="D498" s="128" t="s">
        <v>293</v>
      </c>
      <c r="E498" s="128" t="s">
        <v>294</v>
      </c>
      <c r="F498" s="128" t="s">
        <v>116</v>
      </c>
      <c r="G498" s="150" t="s">
        <v>32</v>
      </c>
      <c r="H498" s="128" t="s">
        <v>33</v>
      </c>
      <c r="I498" s="186"/>
    </row>
    <row r="499" spans="1:9" ht="24.95" customHeight="1" x14ac:dyDescent="0.2">
      <c r="A499" s="198"/>
      <c r="B499" s="249"/>
      <c r="C499" s="190"/>
      <c r="D499" s="188"/>
      <c r="E499" s="188"/>
      <c r="F499" s="188"/>
      <c r="G499" s="189"/>
      <c r="H499" s="190" t="s">
        <v>34</v>
      </c>
      <c r="I499" s="191"/>
    </row>
    <row r="500" spans="1:9" ht="15" customHeight="1" thickBot="1" x14ac:dyDescent="0.25">
      <c r="A500" s="152">
        <v>600</v>
      </c>
      <c r="B500" s="153" t="s">
        <v>117</v>
      </c>
      <c r="C500" s="171">
        <v>0</v>
      </c>
      <c r="D500" s="171">
        <v>0</v>
      </c>
      <c r="E500" s="171">
        <v>0</v>
      </c>
      <c r="F500" s="171">
        <v>0</v>
      </c>
      <c r="G500" s="171">
        <v>0</v>
      </c>
      <c r="H500" s="171">
        <v>0</v>
      </c>
      <c r="I500" s="154">
        <f t="shared" ref="I500:I513" si="135">SUM(H500-G500)</f>
        <v>0</v>
      </c>
    </row>
    <row r="501" spans="1:9" ht="15" customHeight="1" thickBot="1" x14ac:dyDescent="0.25">
      <c r="A501" s="152">
        <v>601</v>
      </c>
      <c r="B501" s="153" t="s">
        <v>118</v>
      </c>
      <c r="C501" s="142">
        <v>0</v>
      </c>
      <c r="D501" s="142">
        <v>0</v>
      </c>
      <c r="E501" s="142">
        <v>0</v>
      </c>
      <c r="F501" s="142">
        <v>0</v>
      </c>
      <c r="G501" s="142">
        <v>0</v>
      </c>
      <c r="H501" s="142">
        <v>0</v>
      </c>
      <c r="I501" s="154">
        <f t="shared" si="135"/>
        <v>0</v>
      </c>
    </row>
    <row r="502" spans="1:9" ht="15" customHeight="1" thickBot="1" x14ac:dyDescent="0.25">
      <c r="A502" s="152">
        <v>602</v>
      </c>
      <c r="B502" s="153" t="s">
        <v>119</v>
      </c>
      <c r="C502" s="142">
        <f>2200+419</f>
        <v>2619</v>
      </c>
      <c r="D502" s="159">
        <v>3658</v>
      </c>
      <c r="E502" s="159">
        <v>3000</v>
      </c>
      <c r="F502" s="142">
        <f>3658</f>
        <v>3658</v>
      </c>
      <c r="G502" s="142">
        <f>3658</f>
        <v>3658</v>
      </c>
      <c r="H502" s="142">
        <v>3175</v>
      </c>
      <c r="I502" s="154">
        <f t="shared" si="135"/>
        <v>-483</v>
      </c>
    </row>
    <row r="503" spans="1:9" ht="15" customHeight="1" thickBot="1" x14ac:dyDescent="0.25">
      <c r="A503" s="152">
        <v>603</v>
      </c>
      <c r="B503" s="153" t="s">
        <v>120</v>
      </c>
      <c r="C503" s="142">
        <v>0</v>
      </c>
      <c r="D503" s="142">
        <v>0</v>
      </c>
      <c r="E503" s="142">
        <v>0</v>
      </c>
      <c r="F503" s="142">
        <v>0</v>
      </c>
      <c r="G503" s="142">
        <v>0</v>
      </c>
      <c r="H503" s="142">
        <v>0</v>
      </c>
      <c r="I503" s="154">
        <f t="shared" si="135"/>
        <v>0</v>
      </c>
    </row>
    <row r="504" spans="1:9" ht="15" customHeight="1" thickBot="1" x14ac:dyDescent="0.25">
      <c r="A504" s="152">
        <v>604</v>
      </c>
      <c r="B504" s="153" t="s">
        <v>121</v>
      </c>
      <c r="C504" s="142">
        <v>0</v>
      </c>
      <c r="D504" s="142">
        <v>0</v>
      </c>
      <c r="E504" s="142">
        <v>0</v>
      </c>
      <c r="F504" s="142">
        <v>0</v>
      </c>
      <c r="G504" s="142">
        <v>0</v>
      </c>
      <c r="H504" s="142">
        <v>0</v>
      </c>
      <c r="I504" s="154">
        <f t="shared" si="135"/>
        <v>0</v>
      </c>
    </row>
    <row r="505" spans="1:9" ht="15" customHeight="1" thickBot="1" x14ac:dyDescent="0.25">
      <c r="A505" s="152">
        <v>605</v>
      </c>
      <c r="B505" s="153" t="s">
        <v>122</v>
      </c>
      <c r="C505" s="142">
        <v>0</v>
      </c>
      <c r="D505" s="142">
        <v>0</v>
      </c>
      <c r="E505" s="142">
        <v>0</v>
      </c>
      <c r="F505" s="142">
        <v>0</v>
      </c>
      <c r="G505" s="142">
        <v>0</v>
      </c>
      <c r="H505" s="142">
        <v>0</v>
      </c>
      <c r="I505" s="154">
        <f t="shared" si="135"/>
        <v>0</v>
      </c>
    </row>
    <row r="506" spans="1:9" ht="15" customHeight="1" thickBot="1" x14ac:dyDescent="0.25">
      <c r="A506" s="152">
        <v>606</v>
      </c>
      <c r="B506" s="153" t="s">
        <v>70</v>
      </c>
      <c r="C506" s="142">
        <v>0</v>
      </c>
      <c r="D506" s="142">
        <v>0</v>
      </c>
      <c r="E506" s="142">
        <v>0</v>
      </c>
      <c r="F506" s="142">
        <v>0</v>
      </c>
      <c r="G506" s="142">
        <v>0</v>
      </c>
      <c r="H506" s="142">
        <v>0</v>
      </c>
      <c r="I506" s="154">
        <f t="shared" si="135"/>
        <v>0</v>
      </c>
    </row>
    <row r="507" spans="1:9" ht="15" customHeight="1" thickBot="1" x14ac:dyDescent="0.25">
      <c r="A507" s="152">
        <v>609</v>
      </c>
      <c r="B507" s="153" t="s">
        <v>123</v>
      </c>
      <c r="C507" s="142">
        <v>0</v>
      </c>
      <c r="D507" s="142">
        <v>0</v>
      </c>
      <c r="E507" s="142">
        <v>0</v>
      </c>
      <c r="F507" s="142">
        <v>0</v>
      </c>
      <c r="G507" s="142">
        <v>0</v>
      </c>
      <c r="H507" s="142">
        <v>0</v>
      </c>
      <c r="I507" s="154">
        <f t="shared" si="135"/>
        <v>0</v>
      </c>
    </row>
    <row r="508" spans="1:9" ht="15" customHeight="1" thickBot="1" x14ac:dyDescent="0.25">
      <c r="A508" s="152">
        <v>650</v>
      </c>
      <c r="B508" s="153" t="s">
        <v>124</v>
      </c>
      <c r="C508" s="142">
        <v>0</v>
      </c>
      <c r="D508" s="142">
        <v>0</v>
      </c>
      <c r="E508" s="142">
        <v>0</v>
      </c>
      <c r="F508" s="142">
        <v>0</v>
      </c>
      <c r="G508" s="142">
        <v>0</v>
      </c>
      <c r="H508" s="142">
        <v>0</v>
      </c>
      <c r="I508" s="154">
        <f t="shared" si="135"/>
        <v>0</v>
      </c>
    </row>
    <row r="509" spans="1:9" ht="15" customHeight="1" thickBot="1" x14ac:dyDescent="0.25">
      <c r="A509" s="152" t="s">
        <v>71</v>
      </c>
      <c r="B509" s="153" t="s">
        <v>72</v>
      </c>
      <c r="C509" s="142">
        <v>0</v>
      </c>
      <c r="D509" s="142">
        <v>0</v>
      </c>
      <c r="E509" s="142">
        <v>0</v>
      </c>
      <c r="F509" s="142">
        <v>0</v>
      </c>
      <c r="G509" s="142">
        <v>0</v>
      </c>
      <c r="H509" s="142">
        <v>0</v>
      </c>
      <c r="I509" s="154">
        <f t="shared" si="135"/>
        <v>0</v>
      </c>
    </row>
    <row r="510" spans="1:9" ht="26.25" thickBot="1" x14ac:dyDescent="0.25">
      <c r="A510" s="156" t="s">
        <v>35</v>
      </c>
      <c r="B510" s="157" t="s">
        <v>73</v>
      </c>
      <c r="C510" s="158">
        <f>SUM(C500:C509)</f>
        <v>2619</v>
      </c>
      <c r="D510" s="158">
        <f t="shared" ref="D510" si="136">SUM(D500:D509)</f>
        <v>3658</v>
      </c>
      <c r="E510" s="158">
        <f t="shared" ref="E510" si="137">SUM(E500:E509)</f>
        <v>3000</v>
      </c>
      <c r="F510" s="158">
        <f t="shared" ref="F510" si="138">SUM(F500:F509)</f>
        <v>3658</v>
      </c>
      <c r="G510" s="158">
        <f t="shared" ref="G510" si="139">SUM(G500:G509)</f>
        <v>3658</v>
      </c>
      <c r="H510" s="158">
        <f t="shared" ref="H510" si="140">SUM(H500:H509)</f>
        <v>3175</v>
      </c>
      <c r="I510" s="154">
        <f t="shared" si="135"/>
        <v>-483</v>
      </c>
    </row>
    <row r="511" spans="1:9" ht="15" customHeight="1" thickBot="1" x14ac:dyDescent="0.25">
      <c r="A511" s="152">
        <v>230</v>
      </c>
      <c r="B511" s="152" t="s">
        <v>74</v>
      </c>
      <c r="C511" s="142">
        <v>0</v>
      </c>
      <c r="D511" s="142">
        <v>0</v>
      </c>
      <c r="E511" s="142">
        <v>0</v>
      </c>
      <c r="F511" s="142">
        <v>0</v>
      </c>
      <c r="G511" s="142">
        <v>0</v>
      </c>
      <c r="H511" s="142">
        <v>0</v>
      </c>
      <c r="I511" s="154">
        <f t="shared" si="135"/>
        <v>0</v>
      </c>
    </row>
    <row r="512" spans="1:9" ht="15" customHeight="1" thickBot="1" x14ac:dyDescent="0.25">
      <c r="A512" s="152">
        <v>231</v>
      </c>
      <c r="B512" s="152" t="s">
        <v>125</v>
      </c>
      <c r="C512" s="142">
        <v>793</v>
      </c>
      <c r="D512" s="142"/>
      <c r="E512" s="142"/>
      <c r="F512" s="142">
        <v>940</v>
      </c>
      <c r="G512" s="142">
        <v>940</v>
      </c>
      <c r="H512" s="142">
        <v>505</v>
      </c>
      <c r="I512" s="154">
        <f t="shared" si="135"/>
        <v>-435</v>
      </c>
    </row>
    <row r="513" spans="1:9" ht="15" customHeight="1" thickBot="1" x14ac:dyDescent="0.25">
      <c r="A513" s="152">
        <v>232</v>
      </c>
      <c r="B513" s="152" t="s">
        <v>75</v>
      </c>
      <c r="C513" s="142">
        <v>0</v>
      </c>
      <c r="D513" s="142"/>
      <c r="E513" s="142"/>
      <c r="F513" s="142"/>
      <c r="G513" s="142"/>
      <c r="H513" s="142"/>
      <c r="I513" s="154">
        <f t="shared" si="135"/>
        <v>0</v>
      </c>
    </row>
    <row r="514" spans="1:9" ht="21" customHeight="1" thickBot="1" x14ac:dyDescent="0.25">
      <c r="A514" s="156" t="s">
        <v>35</v>
      </c>
      <c r="B514" s="157" t="s">
        <v>76</v>
      </c>
      <c r="C514" s="158">
        <f t="shared" ref="C514:H514" si="141">SUM(C511:C513)</f>
        <v>793</v>
      </c>
      <c r="D514" s="158">
        <f t="shared" si="141"/>
        <v>0</v>
      </c>
      <c r="E514" s="158">
        <f t="shared" si="141"/>
        <v>0</v>
      </c>
      <c r="F514" s="158">
        <f t="shared" si="141"/>
        <v>940</v>
      </c>
      <c r="G514" s="158">
        <f t="shared" si="141"/>
        <v>940</v>
      </c>
      <c r="H514" s="158">
        <f t="shared" si="141"/>
        <v>505</v>
      </c>
      <c r="I514" s="154">
        <f>SUM(H511-G513)</f>
        <v>0</v>
      </c>
    </row>
    <row r="515" spans="1:9" ht="15" customHeight="1" thickBot="1" x14ac:dyDescent="0.25">
      <c r="A515" s="152">
        <v>230</v>
      </c>
      <c r="B515" s="152" t="s">
        <v>74</v>
      </c>
      <c r="C515" s="142">
        <v>0</v>
      </c>
      <c r="D515" s="142">
        <v>0</v>
      </c>
      <c r="E515" s="142">
        <v>0</v>
      </c>
      <c r="F515" s="142">
        <v>0</v>
      </c>
      <c r="G515" s="142">
        <v>0</v>
      </c>
      <c r="H515" s="142">
        <v>0</v>
      </c>
      <c r="I515" s="154">
        <f>SUM(H515-G515)</f>
        <v>0</v>
      </c>
    </row>
    <row r="516" spans="1:9" ht="15" customHeight="1" thickBot="1" x14ac:dyDescent="0.25">
      <c r="A516" s="152">
        <v>231</v>
      </c>
      <c r="B516" s="152" t="s">
        <v>125</v>
      </c>
      <c r="C516" s="142">
        <v>0</v>
      </c>
      <c r="D516" s="142">
        <v>0</v>
      </c>
      <c r="E516" s="142">
        <v>0</v>
      </c>
      <c r="F516" s="142">
        <v>0</v>
      </c>
      <c r="G516" s="142">
        <v>0</v>
      </c>
      <c r="H516" s="142">
        <v>0</v>
      </c>
      <c r="I516" s="154">
        <f>SUM(H516-G516)</f>
        <v>0</v>
      </c>
    </row>
    <row r="517" spans="1:9" ht="15" customHeight="1" thickBot="1" x14ac:dyDescent="0.25">
      <c r="A517" s="152">
        <v>232</v>
      </c>
      <c r="B517" s="152" t="s">
        <v>75</v>
      </c>
      <c r="C517" s="142">
        <v>0</v>
      </c>
      <c r="D517" s="142">
        <v>0</v>
      </c>
      <c r="E517" s="142">
        <v>0</v>
      </c>
      <c r="F517" s="142">
        <v>0</v>
      </c>
      <c r="G517" s="142">
        <v>0</v>
      </c>
      <c r="H517" s="142">
        <v>0</v>
      </c>
      <c r="I517" s="154">
        <f>SUM(H517-G517)</f>
        <v>0</v>
      </c>
    </row>
    <row r="518" spans="1:9" ht="20.45" customHeight="1" thickBot="1" x14ac:dyDescent="0.25">
      <c r="A518" s="156" t="s">
        <v>35</v>
      </c>
      <c r="B518" s="157" t="s">
        <v>36</v>
      </c>
      <c r="C518" s="158">
        <f t="shared" ref="C518:H518" si="142">SUM(C515:C517)</f>
        <v>0</v>
      </c>
      <c r="D518" s="158">
        <f t="shared" si="142"/>
        <v>0</v>
      </c>
      <c r="E518" s="158">
        <f t="shared" si="142"/>
        <v>0</v>
      </c>
      <c r="F518" s="158">
        <f t="shared" si="142"/>
        <v>0</v>
      </c>
      <c r="G518" s="158">
        <f t="shared" si="142"/>
        <v>0</v>
      </c>
      <c r="H518" s="158">
        <f t="shared" si="142"/>
        <v>0</v>
      </c>
      <c r="I518" s="154">
        <f>SUM(H515-G517)</f>
        <v>0</v>
      </c>
    </row>
    <row r="519" spans="1:9" ht="13.5" thickBot="1" x14ac:dyDescent="0.25">
      <c r="A519" s="156" t="s">
        <v>37</v>
      </c>
      <c r="B519" s="160" t="s">
        <v>38</v>
      </c>
      <c r="C519" s="161">
        <f>C514+C518</f>
        <v>793</v>
      </c>
      <c r="D519" s="161">
        <f t="shared" ref="D519" si="143">D514+D518</f>
        <v>0</v>
      </c>
      <c r="E519" s="161">
        <f t="shared" ref="E519" si="144">E514+E518</f>
        <v>0</v>
      </c>
      <c r="F519" s="161">
        <f t="shared" ref="F519" si="145">F514+F518</f>
        <v>940</v>
      </c>
      <c r="G519" s="161">
        <f t="shared" ref="G519" si="146">G514+G518</f>
        <v>940</v>
      </c>
      <c r="H519" s="161">
        <f t="shared" ref="H519" si="147">H514+H518</f>
        <v>505</v>
      </c>
      <c r="I519" s="154">
        <f>SUM(H519-G519)</f>
        <v>-435</v>
      </c>
    </row>
    <row r="520" spans="1:9" ht="13.5" thickBot="1" x14ac:dyDescent="0.25">
      <c r="A520" s="245" t="s">
        <v>77</v>
      </c>
      <c r="B520" s="246"/>
      <c r="C520" s="162">
        <f>C519+C510</f>
        <v>3412</v>
      </c>
      <c r="D520" s="162">
        <f t="shared" ref="D520" si="148">D519+D510</f>
        <v>3658</v>
      </c>
      <c r="E520" s="162">
        <f t="shared" ref="E520" si="149">E519+E510</f>
        <v>3000</v>
      </c>
      <c r="F520" s="162">
        <f t="shared" ref="F520" si="150">F519+F510</f>
        <v>4598</v>
      </c>
      <c r="G520" s="162">
        <f t="shared" ref="G520" si="151">G519+G510</f>
        <v>4598</v>
      </c>
      <c r="H520" s="162">
        <f t="shared" ref="H520" si="152">H519+H510</f>
        <v>3680</v>
      </c>
      <c r="I520" s="163">
        <f>SUM(H520-G520)</f>
        <v>-918</v>
      </c>
    </row>
    <row r="522" spans="1:9" ht="19.149999999999999" customHeight="1" x14ac:dyDescent="0.2">
      <c r="A522" s="244" t="s">
        <v>66</v>
      </c>
      <c r="B522" s="164" t="s">
        <v>20</v>
      </c>
      <c r="C522" s="165" t="s">
        <v>302</v>
      </c>
      <c r="D522" s="244" t="s">
        <v>19</v>
      </c>
      <c r="E522" s="166" t="s">
        <v>283</v>
      </c>
    </row>
    <row r="523" spans="1:9" ht="21" customHeight="1" x14ac:dyDescent="0.2">
      <c r="A523" s="244"/>
      <c r="B523" s="164" t="s">
        <v>21</v>
      </c>
      <c r="C523" s="165"/>
      <c r="D523" s="244"/>
      <c r="E523" s="166"/>
    </row>
    <row r="524" spans="1:9" ht="22.9" customHeight="1" x14ac:dyDescent="0.2">
      <c r="A524" s="244"/>
      <c r="B524" s="164" t="s">
        <v>22</v>
      </c>
      <c r="C524" s="165" t="str">
        <f>C485</f>
        <v>08.02.2022</v>
      </c>
      <c r="D524" s="244"/>
      <c r="E524" s="166" t="str">
        <f>E485</f>
        <v>08.02.2022</v>
      </c>
    </row>
    <row r="535" spans="1:9" ht="15.75" customHeight="1" x14ac:dyDescent="0.2">
      <c r="A535" s="150"/>
      <c r="B535" s="192"/>
      <c r="C535" s="138"/>
      <c r="D535" s="138"/>
      <c r="E535" s="138"/>
      <c r="F535" s="138"/>
      <c r="G535" s="138"/>
      <c r="H535" s="138"/>
      <c r="I535" s="179" t="s">
        <v>68</v>
      </c>
    </row>
    <row r="536" spans="1:9" ht="24.95" customHeight="1" thickBot="1" x14ac:dyDescent="0.25">
      <c r="A536" s="194" t="s">
        <v>25</v>
      </c>
      <c r="B536" s="195" t="s">
        <v>115</v>
      </c>
      <c r="C536" s="247"/>
      <c r="D536" s="247"/>
      <c r="E536" s="247"/>
      <c r="F536" s="247"/>
      <c r="G536" s="247"/>
      <c r="H536" s="180" t="s">
        <v>26</v>
      </c>
      <c r="I536" s="181">
        <v>2137001</v>
      </c>
    </row>
    <row r="537" spans="1:9" ht="24.95" customHeight="1" thickBot="1" x14ac:dyDescent="0.25">
      <c r="A537" s="196" t="s">
        <v>28</v>
      </c>
      <c r="B537" s="143" t="s">
        <v>105</v>
      </c>
      <c r="C537" s="248"/>
      <c r="D537" s="248"/>
      <c r="E537" s="248"/>
      <c r="F537" s="248"/>
      <c r="G537" s="248"/>
      <c r="H537" s="141" t="s">
        <v>69</v>
      </c>
      <c r="I537" s="167">
        <v>7220</v>
      </c>
    </row>
    <row r="538" spans="1:9" ht="24.95" customHeight="1" thickBot="1" x14ac:dyDescent="0.25">
      <c r="A538" s="197" t="s">
        <v>30</v>
      </c>
      <c r="B538" s="240" t="s">
        <v>17</v>
      </c>
      <c r="C538" s="145">
        <v>-1</v>
      </c>
      <c r="D538" s="145">
        <v>-2</v>
      </c>
      <c r="E538" s="145">
        <v>-3</v>
      </c>
      <c r="F538" s="146">
        <v>-4</v>
      </c>
      <c r="G538" s="146">
        <v>-5</v>
      </c>
      <c r="H538" s="146">
        <v>-6</v>
      </c>
      <c r="I538" s="168" t="s">
        <v>11</v>
      </c>
    </row>
    <row r="539" spans="1:9" ht="24.95" customHeight="1" x14ac:dyDescent="0.2">
      <c r="A539" s="197"/>
      <c r="B539" s="241"/>
      <c r="C539" s="148" t="s">
        <v>12</v>
      </c>
      <c r="D539" s="148" t="s">
        <v>13</v>
      </c>
      <c r="E539" s="148" t="s">
        <v>14</v>
      </c>
      <c r="F539" s="148" t="s">
        <v>14</v>
      </c>
      <c r="G539" s="148" t="s">
        <v>14</v>
      </c>
      <c r="H539" s="148" t="s">
        <v>31</v>
      </c>
      <c r="I539" s="184" t="s">
        <v>15</v>
      </c>
    </row>
    <row r="540" spans="1:9" ht="24.95" customHeight="1" x14ac:dyDescent="0.2">
      <c r="A540" s="197"/>
      <c r="B540" s="242"/>
      <c r="C540" s="128" t="s">
        <v>292</v>
      </c>
      <c r="D540" s="128" t="s">
        <v>293</v>
      </c>
      <c r="E540" s="128" t="s">
        <v>294</v>
      </c>
      <c r="F540" s="128" t="s">
        <v>116</v>
      </c>
      <c r="G540" s="150" t="s">
        <v>32</v>
      </c>
      <c r="H540" s="128" t="s">
        <v>33</v>
      </c>
      <c r="I540" s="186"/>
    </row>
    <row r="541" spans="1:9" ht="24.95" customHeight="1" x14ac:dyDescent="0.2">
      <c r="A541" s="198"/>
      <c r="B541" s="249"/>
      <c r="C541" s="190"/>
      <c r="D541" s="188"/>
      <c r="E541" s="188"/>
      <c r="F541" s="188"/>
      <c r="G541" s="189"/>
      <c r="H541" s="190" t="s">
        <v>34</v>
      </c>
      <c r="I541" s="191"/>
    </row>
    <row r="542" spans="1:9" ht="15" customHeight="1" thickBot="1" x14ac:dyDescent="0.25">
      <c r="A542" s="152">
        <v>600</v>
      </c>
      <c r="B542" s="153" t="s">
        <v>117</v>
      </c>
      <c r="C542" s="171">
        <v>0</v>
      </c>
      <c r="D542" s="171">
        <v>0</v>
      </c>
      <c r="E542" s="171">
        <v>0</v>
      </c>
      <c r="F542" s="171">
        <v>0</v>
      </c>
      <c r="G542" s="171">
        <v>0</v>
      </c>
      <c r="H542" s="171">
        <v>0</v>
      </c>
      <c r="I542" s="154">
        <f t="shared" ref="I542:I555" si="153">SUM(H542-G542)</f>
        <v>0</v>
      </c>
    </row>
    <row r="543" spans="1:9" ht="15" customHeight="1" thickBot="1" x14ac:dyDescent="0.25">
      <c r="A543" s="152">
        <v>601</v>
      </c>
      <c r="B543" s="153" t="s">
        <v>118</v>
      </c>
      <c r="C543" s="142">
        <v>0</v>
      </c>
      <c r="D543" s="142">
        <v>0</v>
      </c>
      <c r="E543" s="142">
        <v>0</v>
      </c>
      <c r="F543" s="142">
        <v>0</v>
      </c>
      <c r="G543" s="142">
        <v>0</v>
      </c>
      <c r="H543" s="142">
        <v>0</v>
      </c>
      <c r="I543" s="154">
        <f t="shared" si="153"/>
        <v>0</v>
      </c>
    </row>
    <row r="544" spans="1:9" ht="15" customHeight="1" thickBot="1" x14ac:dyDescent="0.25">
      <c r="A544" s="152">
        <v>602</v>
      </c>
      <c r="B544" s="153" t="s">
        <v>119</v>
      </c>
      <c r="C544" s="142">
        <v>0</v>
      </c>
      <c r="D544" s="142">
        <v>0</v>
      </c>
      <c r="E544" s="142">
        <v>0</v>
      </c>
      <c r="F544" s="142">
        <v>0</v>
      </c>
      <c r="G544" s="142">
        <v>0</v>
      </c>
      <c r="H544" s="142">
        <v>0</v>
      </c>
      <c r="I544" s="154">
        <f t="shared" si="153"/>
        <v>0</v>
      </c>
    </row>
    <row r="545" spans="1:9" ht="15" customHeight="1" thickBot="1" x14ac:dyDescent="0.25">
      <c r="A545" s="152">
        <v>603</v>
      </c>
      <c r="B545" s="153" t="s">
        <v>120</v>
      </c>
      <c r="C545" s="142">
        <v>0</v>
      </c>
      <c r="D545" s="142">
        <v>0</v>
      </c>
      <c r="E545" s="142">
        <v>0</v>
      </c>
      <c r="F545" s="142">
        <v>0</v>
      </c>
      <c r="G545" s="142">
        <v>0</v>
      </c>
      <c r="H545" s="142">
        <v>0</v>
      </c>
      <c r="I545" s="154">
        <f t="shared" si="153"/>
        <v>0</v>
      </c>
    </row>
    <row r="546" spans="1:9" ht="15" customHeight="1" thickBot="1" x14ac:dyDescent="0.25">
      <c r="A546" s="152">
        <v>604</v>
      </c>
      <c r="B546" s="153" t="s">
        <v>121</v>
      </c>
      <c r="C546" s="142">
        <v>0</v>
      </c>
      <c r="D546" s="142">
        <v>0</v>
      </c>
      <c r="E546" s="142">
        <v>0</v>
      </c>
      <c r="F546" s="142">
        <v>0</v>
      </c>
      <c r="G546" s="142">
        <v>0</v>
      </c>
      <c r="H546" s="142">
        <v>0</v>
      </c>
      <c r="I546" s="154">
        <f t="shared" si="153"/>
        <v>0</v>
      </c>
    </row>
    <row r="547" spans="1:9" ht="15" customHeight="1" thickBot="1" x14ac:dyDescent="0.25">
      <c r="A547" s="152">
        <v>605</v>
      </c>
      <c r="B547" s="153" t="s">
        <v>122</v>
      </c>
      <c r="C547" s="142">
        <v>0</v>
      </c>
      <c r="D547" s="142">
        <v>0</v>
      </c>
      <c r="E547" s="142">
        <v>0</v>
      </c>
      <c r="F547" s="142">
        <v>0</v>
      </c>
      <c r="G547" s="142">
        <v>0</v>
      </c>
      <c r="H547" s="142">
        <v>0</v>
      </c>
      <c r="I547" s="154">
        <f t="shared" si="153"/>
        <v>0</v>
      </c>
    </row>
    <row r="548" spans="1:9" ht="15" customHeight="1" thickBot="1" x14ac:dyDescent="0.25">
      <c r="A548" s="152">
        <v>606</v>
      </c>
      <c r="B548" s="153" t="s">
        <v>70</v>
      </c>
      <c r="C548" s="142">
        <v>0</v>
      </c>
      <c r="D548" s="142">
        <v>0</v>
      </c>
      <c r="E548" s="142">
        <v>0</v>
      </c>
      <c r="F548" s="142">
        <v>0</v>
      </c>
      <c r="G548" s="142">
        <v>0</v>
      </c>
      <c r="H548" s="142">
        <v>0</v>
      </c>
      <c r="I548" s="154">
        <f t="shared" si="153"/>
        <v>0</v>
      </c>
    </row>
    <row r="549" spans="1:9" ht="15" customHeight="1" thickBot="1" x14ac:dyDescent="0.25">
      <c r="A549" s="152">
        <v>609</v>
      </c>
      <c r="B549" s="153" t="s">
        <v>123</v>
      </c>
      <c r="C549" s="142">
        <v>0</v>
      </c>
      <c r="D549" s="142">
        <v>0</v>
      </c>
      <c r="E549" s="142">
        <v>0</v>
      </c>
      <c r="F549" s="142">
        <v>0</v>
      </c>
      <c r="G549" s="142">
        <v>0</v>
      </c>
      <c r="H549" s="142">
        <v>0</v>
      </c>
      <c r="I549" s="154">
        <f t="shared" si="153"/>
        <v>0</v>
      </c>
    </row>
    <row r="550" spans="1:9" ht="15" customHeight="1" thickBot="1" x14ac:dyDescent="0.25">
      <c r="A550" s="152">
        <v>650</v>
      </c>
      <c r="B550" s="153" t="s">
        <v>124</v>
      </c>
      <c r="C550" s="142">
        <v>0</v>
      </c>
      <c r="D550" s="142">
        <v>0</v>
      </c>
      <c r="E550" s="142">
        <v>0</v>
      </c>
      <c r="F550" s="142">
        <v>0</v>
      </c>
      <c r="G550" s="142">
        <v>0</v>
      </c>
      <c r="H550" s="142">
        <v>0</v>
      </c>
      <c r="I550" s="154">
        <f t="shared" si="153"/>
        <v>0</v>
      </c>
    </row>
    <row r="551" spans="1:9" ht="15" customHeight="1" thickBot="1" x14ac:dyDescent="0.25">
      <c r="A551" s="152" t="s">
        <v>71</v>
      </c>
      <c r="B551" s="153" t="s">
        <v>72</v>
      </c>
      <c r="C551" s="142">
        <v>0</v>
      </c>
      <c r="D551" s="142">
        <v>0</v>
      </c>
      <c r="E551" s="142">
        <v>0</v>
      </c>
      <c r="F551" s="142">
        <v>0</v>
      </c>
      <c r="G551" s="142">
        <v>0</v>
      </c>
      <c r="H551" s="142">
        <v>0</v>
      </c>
      <c r="I551" s="154">
        <f t="shared" si="153"/>
        <v>0</v>
      </c>
    </row>
    <row r="552" spans="1:9" ht="26.25" thickBot="1" x14ac:dyDescent="0.25">
      <c r="A552" s="156" t="s">
        <v>35</v>
      </c>
      <c r="B552" s="157" t="s">
        <v>73</v>
      </c>
      <c r="C552" s="158">
        <f>SUM(C542:C551)</f>
        <v>0</v>
      </c>
      <c r="D552" s="158">
        <f t="shared" ref="D552" si="154">SUM(D542:D551)</f>
        <v>0</v>
      </c>
      <c r="E552" s="158">
        <f t="shared" ref="E552" si="155">SUM(E542:E551)</f>
        <v>0</v>
      </c>
      <c r="F552" s="158">
        <f t="shared" ref="F552" si="156">SUM(F542:F551)</f>
        <v>0</v>
      </c>
      <c r="G552" s="158">
        <f t="shared" ref="G552" si="157">SUM(G542:G551)</f>
        <v>0</v>
      </c>
      <c r="H552" s="158">
        <f t="shared" ref="H552" si="158">SUM(H542:H551)</f>
        <v>0</v>
      </c>
      <c r="I552" s="154">
        <f t="shared" si="153"/>
        <v>0</v>
      </c>
    </row>
    <row r="553" spans="1:9" ht="15" customHeight="1" thickBot="1" x14ac:dyDescent="0.25">
      <c r="A553" s="152">
        <v>230</v>
      </c>
      <c r="B553" s="152" t="s">
        <v>74</v>
      </c>
      <c r="C553" s="142">
        <v>0</v>
      </c>
      <c r="D553" s="142">
        <v>0</v>
      </c>
      <c r="E553" s="142">
        <v>0</v>
      </c>
      <c r="F553" s="142">
        <v>0</v>
      </c>
      <c r="G553" s="142">
        <v>0</v>
      </c>
      <c r="H553" s="142">
        <v>0</v>
      </c>
      <c r="I553" s="154">
        <f t="shared" si="153"/>
        <v>0</v>
      </c>
    </row>
    <row r="554" spans="1:9" ht="15" customHeight="1" thickBot="1" x14ac:dyDescent="0.25">
      <c r="A554" s="152">
        <v>231</v>
      </c>
      <c r="B554" s="152" t="s">
        <v>125</v>
      </c>
      <c r="C554" s="142">
        <v>0</v>
      </c>
      <c r="D554" s="142"/>
      <c r="E554" s="142"/>
      <c r="F554" s="142"/>
      <c r="G554" s="142"/>
      <c r="H554" s="142">
        <v>0</v>
      </c>
      <c r="I554" s="154">
        <f t="shared" si="153"/>
        <v>0</v>
      </c>
    </row>
    <row r="555" spans="1:9" ht="15" customHeight="1" thickBot="1" x14ac:dyDescent="0.25">
      <c r="A555" s="152">
        <v>232</v>
      </c>
      <c r="B555" s="152" t="s">
        <v>75</v>
      </c>
      <c r="C555" s="142">
        <v>0</v>
      </c>
      <c r="D555" s="142">
        <v>0</v>
      </c>
      <c r="E555" s="142">
        <v>0</v>
      </c>
      <c r="F555" s="142">
        <v>0</v>
      </c>
      <c r="G555" s="142">
        <v>0</v>
      </c>
      <c r="H555" s="142">
        <v>0</v>
      </c>
      <c r="I555" s="154">
        <f t="shared" si="153"/>
        <v>0</v>
      </c>
    </row>
    <row r="556" spans="1:9" ht="21" customHeight="1" thickBot="1" x14ac:dyDescent="0.25">
      <c r="A556" s="156" t="s">
        <v>35</v>
      </c>
      <c r="B556" s="157" t="s">
        <v>76</v>
      </c>
      <c r="C556" s="158">
        <f t="shared" ref="C556:H556" si="159">SUM(C553:C555)</f>
        <v>0</v>
      </c>
      <c r="D556" s="158">
        <f t="shared" si="159"/>
        <v>0</v>
      </c>
      <c r="E556" s="158">
        <f t="shared" si="159"/>
        <v>0</v>
      </c>
      <c r="F556" s="158">
        <f t="shared" si="159"/>
        <v>0</v>
      </c>
      <c r="G556" s="158">
        <f t="shared" si="159"/>
        <v>0</v>
      </c>
      <c r="H556" s="158">
        <f t="shared" si="159"/>
        <v>0</v>
      </c>
      <c r="I556" s="154">
        <f>SUM(H553-G555)</f>
        <v>0</v>
      </c>
    </row>
    <row r="557" spans="1:9" ht="15" customHeight="1" thickBot="1" x14ac:dyDescent="0.25">
      <c r="A557" s="152">
        <v>230</v>
      </c>
      <c r="B557" s="152" t="s">
        <v>74</v>
      </c>
      <c r="C557" s="142">
        <v>0</v>
      </c>
      <c r="D557" s="142">
        <v>0</v>
      </c>
      <c r="E557" s="142">
        <v>0</v>
      </c>
      <c r="F557" s="142">
        <v>0</v>
      </c>
      <c r="G557" s="142">
        <v>0</v>
      </c>
      <c r="H557" s="142">
        <v>0</v>
      </c>
      <c r="I557" s="154">
        <f>SUM(H557-G557)</f>
        <v>0</v>
      </c>
    </row>
    <row r="558" spans="1:9" ht="15" customHeight="1" thickBot="1" x14ac:dyDescent="0.25">
      <c r="A558" s="152">
        <v>231</v>
      </c>
      <c r="B558" s="152" t="s">
        <v>125</v>
      </c>
      <c r="C558" s="142">
        <v>0</v>
      </c>
      <c r="D558" s="142">
        <v>0</v>
      </c>
      <c r="E558" s="142">
        <v>0</v>
      </c>
      <c r="F558" s="142">
        <v>0</v>
      </c>
      <c r="G558" s="142">
        <v>0</v>
      </c>
      <c r="H558" s="142">
        <v>0</v>
      </c>
      <c r="I558" s="154">
        <f>SUM(H558-G558)</f>
        <v>0</v>
      </c>
    </row>
    <row r="559" spans="1:9" ht="15" customHeight="1" thickBot="1" x14ac:dyDescent="0.25">
      <c r="A559" s="152">
        <v>232</v>
      </c>
      <c r="B559" s="152" t="s">
        <v>75</v>
      </c>
      <c r="C559" s="142">
        <v>0</v>
      </c>
      <c r="D559" s="142">
        <v>0</v>
      </c>
      <c r="E559" s="142">
        <v>0</v>
      </c>
      <c r="F559" s="142">
        <v>0</v>
      </c>
      <c r="G559" s="142">
        <v>0</v>
      </c>
      <c r="H559" s="142">
        <v>0</v>
      </c>
      <c r="I559" s="154">
        <f>SUM(H559-G559)</f>
        <v>0</v>
      </c>
    </row>
    <row r="560" spans="1:9" ht="20.45" customHeight="1" thickBot="1" x14ac:dyDescent="0.25">
      <c r="A560" s="156" t="s">
        <v>35</v>
      </c>
      <c r="B560" s="157" t="s">
        <v>36</v>
      </c>
      <c r="C560" s="158">
        <f t="shared" ref="C560:H560" si="160">SUM(C557:C559)</f>
        <v>0</v>
      </c>
      <c r="D560" s="158">
        <f t="shared" si="160"/>
        <v>0</v>
      </c>
      <c r="E560" s="158">
        <f t="shared" si="160"/>
        <v>0</v>
      </c>
      <c r="F560" s="158">
        <f t="shared" si="160"/>
        <v>0</v>
      </c>
      <c r="G560" s="158">
        <f t="shared" si="160"/>
        <v>0</v>
      </c>
      <c r="H560" s="158">
        <f t="shared" si="160"/>
        <v>0</v>
      </c>
      <c r="I560" s="154">
        <f>SUM(H557-G559)</f>
        <v>0</v>
      </c>
    </row>
    <row r="561" spans="1:9" ht="13.5" thickBot="1" x14ac:dyDescent="0.25">
      <c r="A561" s="156" t="s">
        <v>37</v>
      </c>
      <c r="B561" s="160" t="s">
        <v>38</v>
      </c>
      <c r="C561" s="161">
        <f>C556+C560</f>
        <v>0</v>
      </c>
      <c r="D561" s="161">
        <f t="shared" ref="D561" si="161">D556+D560</f>
        <v>0</v>
      </c>
      <c r="E561" s="161">
        <f t="shared" ref="E561" si="162">E556+E560</f>
        <v>0</v>
      </c>
      <c r="F561" s="161">
        <f t="shared" ref="F561" si="163">F556+F560</f>
        <v>0</v>
      </c>
      <c r="G561" s="161">
        <f t="shared" ref="G561" si="164">G556+G560</f>
        <v>0</v>
      </c>
      <c r="H561" s="161">
        <f t="shared" ref="H561" si="165">H556+H560</f>
        <v>0</v>
      </c>
      <c r="I561" s="154">
        <f>SUM(H561-G561)</f>
        <v>0</v>
      </c>
    </row>
    <row r="562" spans="1:9" ht="13.5" thickBot="1" x14ac:dyDescent="0.25">
      <c r="A562" s="245" t="s">
        <v>77</v>
      </c>
      <c r="B562" s="246"/>
      <c r="C562" s="162">
        <f>C561+C552</f>
        <v>0</v>
      </c>
      <c r="D562" s="162">
        <f t="shared" ref="D562" si="166">D561+D552</f>
        <v>0</v>
      </c>
      <c r="E562" s="162">
        <f t="shared" ref="E562" si="167">E561+E552</f>
        <v>0</v>
      </c>
      <c r="F562" s="162">
        <f t="shared" ref="F562" si="168">F561+F552</f>
        <v>0</v>
      </c>
      <c r="G562" s="162">
        <f t="shared" ref="G562" si="169">G561+G552</f>
        <v>0</v>
      </c>
      <c r="H562" s="162">
        <f t="shared" ref="H562" si="170">H561+H552</f>
        <v>0</v>
      </c>
      <c r="I562" s="162">
        <f t="shared" ref="I562" si="171">I561+I552</f>
        <v>0</v>
      </c>
    </row>
    <row r="564" spans="1:9" ht="19.149999999999999" customHeight="1" x14ac:dyDescent="0.2">
      <c r="A564" s="244" t="s">
        <v>66</v>
      </c>
      <c r="B564" s="164" t="s">
        <v>20</v>
      </c>
      <c r="C564" s="165" t="s">
        <v>302</v>
      </c>
      <c r="D564" s="244" t="s">
        <v>19</v>
      </c>
      <c r="E564" s="166" t="s">
        <v>283</v>
      </c>
    </row>
    <row r="565" spans="1:9" ht="21" customHeight="1" x14ac:dyDescent="0.2">
      <c r="A565" s="244"/>
      <c r="B565" s="164" t="s">
        <v>21</v>
      </c>
      <c r="C565" s="165"/>
      <c r="D565" s="244"/>
      <c r="E565" s="166"/>
    </row>
    <row r="566" spans="1:9" ht="22.9" customHeight="1" x14ac:dyDescent="0.2">
      <c r="A566" s="244"/>
      <c r="B566" s="164" t="s">
        <v>22</v>
      </c>
      <c r="C566" s="165" t="str">
        <f>C524</f>
        <v>08.02.2022</v>
      </c>
      <c r="D566" s="244"/>
      <c r="E566" s="166" t="str">
        <f>E524</f>
        <v>08.02.2022</v>
      </c>
    </row>
    <row r="576" spans="1:9" ht="15.75" customHeight="1" thickBot="1" x14ac:dyDescent="0.25">
      <c r="A576" s="136"/>
      <c r="B576" s="137"/>
      <c r="C576" s="138"/>
      <c r="D576" s="138"/>
      <c r="E576" s="138"/>
      <c r="F576" s="138"/>
      <c r="G576" s="138"/>
      <c r="H576" s="138"/>
      <c r="I576" s="130" t="s">
        <v>68</v>
      </c>
    </row>
    <row r="577" spans="1:11" ht="24.95" customHeight="1" thickBot="1" x14ac:dyDescent="0.25">
      <c r="A577" s="139" t="s">
        <v>25</v>
      </c>
      <c r="B577" s="140" t="s">
        <v>115</v>
      </c>
      <c r="C577" s="239"/>
      <c r="D577" s="239"/>
      <c r="E577" s="239"/>
      <c r="F577" s="239"/>
      <c r="G577" s="239"/>
      <c r="H577" s="141" t="s">
        <v>26</v>
      </c>
      <c r="I577" s="142">
        <v>2137001</v>
      </c>
    </row>
    <row r="578" spans="1:11" ht="24.95" customHeight="1" thickBot="1" x14ac:dyDescent="0.25">
      <c r="A578" s="30" t="s">
        <v>28</v>
      </c>
      <c r="B578" s="143" t="s">
        <v>106</v>
      </c>
      <c r="C578" s="239"/>
      <c r="D578" s="239"/>
      <c r="E578" s="239"/>
      <c r="F578" s="239"/>
      <c r="G578" s="239"/>
      <c r="H578" s="141" t="s">
        <v>69</v>
      </c>
      <c r="I578" s="142">
        <v>8130</v>
      </c>
    </row>
    <row r="579" spans="1:11" ht="24.95" customHeight="1" thickBot="1" x14ac:dyDescent="0.25">
      <c r="A579" s="127" t="s">
        <v>30</v>
      </c>
      <c r="B579" s="240" t="s">
        <v>17</v>
      </c>
      <c r="C579" s="145">
        <v>-1</v>
      </c>
      <c r="D579" s="145">
        <v>-2</v>
      </c>
      <c r="E579" s="145">
        <v>-3</v>
      </c>
      <c r="F579" s="146">
        <v>-4</v>
      </c>
      <c r="G579" s="146">
        <v>-5</v>
      </c>
      <c r="H579" s="146">
        <v>-6</v>
      </c>
      <c r="I579" s="146" t="s">
        <v>11</v>
      </c>
    </row>
    <row r="580" spans="1:11" ht="24.95" customHeight="1" x14ac:dyDescent="0.2">
      <c r="A580" s="127"/>
      <c r="B580" s="241"/>
      <c r="C580" s="148" t="s">
        <v>12</v>
      </c>
      <c r="D580" s="148" t="s">
        <v>13</v>
      </c>
      <c r="E580" s="148" t="s">
        <v>14</v>
      </c>
      <c r="F580" s="148" t="s">
        <v>14</v>
      </c>
      <c r="G580" s="148" t="s">
        <v>14</v>
      </c>
      <c r="H580" s="148" t="s">
        <v>31</v>
      </c>
      <c r="I580" s="126" t="s">
        <v>15</v>
      </c>
    </row>
    <row r="581" spans="1:11" ht="24.95" customHeight="1" x14ac:dyDescent="0.2">
      <c r="A581" s="127"/>
      <c r="B581" s="242"/>
      <c r="C581" s="128" t="s">
        <v>292</v>
      </c>
      <c r="D581" s="128" t="s">
        <v>293</v>
      </c>
      <c r="E581" s="128" t="s">
        <v>294</v>
      </c>
      <c r="F581" s="128" t="s">
        <v>116</v>
      </c>
      <c r="G581" s="150" t="s">
        <v>32</v>
      </c>
      <c r="H581" s="128" t="s">
        <v>33</v>
      </c>
      <c r="I581" s="128"/>
      <c r="K581" s="172"/>
    </row>
    <row r="582" spans="1:11" ht="24.95" customHeight="1" thickBot="1" x14ac:dyDescent="0.25">
      <c r="A582" s="30"/>
      <c r="B582" s="243"/>
      <c r="C582" s="129"/>
      <c r="D582" s="30"/>
      <c r="E582" s="30"/>
      <c r="F582" s="30"/>
      <c r="G582" s="151"/>
      <c r="H582" s="129" t="s">
        <v>34</v>
      </c>
      <c r="I582" s="129"/>
      <c r="K582" s="173"/>
    </row>
    <row r="583" spans="1:11" ht="15" customHeight="1" thickBot="1" x14ac:dyDescent="0.25">
      <c r="A583" s="152">
        <v>600</v>
      </c>
      <c r="B583" s="153" t="s">
        <v>117</v>
      </c>
      <c r="C583" s="142">
        <f>1476</f>
        <v>1476</v>
      </c>
      <c r="D583" s="159">
        <f>1290+193</f>
        <v>1483</v>
      </c>
      <c r="E583" s="159">
        <f t="shared" ref="E583" si="172">1290+193</f>
        <v>1483</v>
      </c>
      <c r="F583" s="142">
        <f>920</f>
        <v>920</v>
      </c>
      <c r="G583" s="142">
        <f>920</f>
        <v>920</v>
      </c>
      <c r="H583" s="142">
        <v>889</v>
      </c>
      <c r="I583" s="154">
        <f t="shared" ref="I583:I596" si="173">SUM(H583-G583)</f>
        <v>-31</v>
      </c>
      <c r="K583" s="125"/>
    </row>
    <row r="584" spans="1:11" ht="15" customHeight="1" thickBot="1" x14ac:dyDescent="0.25">
      <c r="A584" s="152">
        <v>601</v>
      </c>
      <c r="B584" s="153" t="s">
        <v>118</v>
      </c>
      <c r="C584" s="142">
        <f>212</f>
        <v>212</v>
      </c>
      <c r="D584" s="159">
        <v>241</v>
      </c>
      <c r="E584" s="159">
        <v>242</v>
      </c>
      <c r="F584" s="142">
        <v>155</v>
      </c>
      <c r="G584" s="142">
        <v>155</v>
      </c>
      <c r="H584" s="142">
        <v>149</v>
      </c>
      <c r="I584" s="154">
        <f t="shared" si="173"/>
        <v>-6</v>
      </c>
      <c r="K584" s="125"/>
    </row>
    <row r="585" spans="1:11" ht="15" customHeight="1" thickBot="1" x14ac:dyDescent="0.25">
      <c r="A585" s="152">
        <v>602</v>
      </c>
      <c r="B585" s="153" t="s">
        <v>119</v>
      </c>
      <c r="C585" s="142">
        <f>1427+91+507+1</f>
        <v>2026</v>
      </c>
      <c r="D585" s="159">
        <f>1500+20</f>
        <v>1520</v>
      </c>
      <c r="E585" s="159">
        <f t="shared" ref="E585" si="174">1500+20</f>
        <v>1520</v>
      </c>
      <c r="F585" s="142">
        <f>1700+945</f>
        <v>2645</v>
      </c>
      <c r="G585" s="142">
        <f>1700+945</f>
        <v>2645</v>
      </c>
      <c r="H585" s="142">
        <f>1700+779</f>
        <v>2479</v>
      </c>
      <c r="I585" s="154">
        <f t="shared" si="173"/>
        <v>-166</v>
      </c>
      <c r="K585" s="125"/>
    </row>
    <row r="586" spans="1:11" ht="15" customHeight="1" thickBot="1" x14ac:dyDescent="0.25">
      <c r="A586" s="152">
        <v>603</v>
      </c>
      <c r="B586" s="153" t="s">
        <v>120</v>
      </c>
      <c r="C586" s="142">
        <v>0</v>
      </c>
      <c r="D586" s="159">
        <v>0</v>
      </c>
      <c r="E586" s="159">
        <v>0</v>
      </c>
      <c r="F586" s="142"/>
      <c r="G586" s="142"/>
      <c r="H586" s="142"/>
      <c r="I586" s="154">
        <f t="shared" si="173"/>
        <v>0</v>
      </c>
      <c r="K586" s="125"/>
    </row>
    <row r="587" spans="1:11" ht="15" customHeight="1" thickBot="1" x14ac:dyDescent="0.25">
      <c r="A587" s="152">
        <v>604</v>
      </c>
      <c r="B587" s="153" t="s">
        <v>121</v>
      </c>
      <c r="C587" s="142">
        <f>9229+1000+741</f>
        <v>10970</v>
      </c>
      <c r="D587" s="159">
        <f>10000</f>
        <v>10000</v>
      </c>
      <c r="E587" s="159">
        <f>10000</f>
        <v>10000</v>
      </c>
      <c r="F587" s="142">
        <f>9008+8701+1000</f>
        <v>18709</v>
      </c>
      <c r="G587" s="142">
        <f>9008+8701+1000</f>
        <v>18709</v>
      </c>
      <c r="H587" s="142">
        <f>9008+8101+1000</f>
        <v>18109</v>
      </c>
      <c r="I587" s="154">
        <f t="shared" si="173"/>
        <v>-600</v>
      </c>
      <c r="K587" s="125"/>
    </row>
    <row r="588" spans="1:11" ht="15" customHeight="1" thickBot="1" x14ac:dyDescent="0.25">
      <c r="A588" s="152">
        <v>605</v>
      </c>
      <c r="B588" s="153" t="s">
        <v>122</v>
      </c>
      <c r="C588" s="142">
        <v>0</v>
      </c>
      <c r="D588" s="142"/>
      <c r="E588" s="142"/>
      <c r="F588" s="142"/>
      <c r="G588" s="142"/>
      <c r="H588" s="142"/>
      <c r="I588" s="154">
        <f t="shared" si="173"/>
        <v>0</v>
      </c>
      <c r="K588" s="125"/>
    </row>
    <row r="589" spans="1:11" ht="15" customHeight="1" thickBot="1" x14ac:dyDescent="0.25">
      <c r="A589" s="152">
        <v>606</v>
      </c>
      <c r="B589" s="153" t="s">
        <v>70</v>
      </c>
      <c r="C589" s="142">
        <v>0</v>
      </c>
      <c r="D589" s="142"/>
      <c r="E589" s="142"/>
      <c r="F589" s="142"/>
      <c r="G589" s="142"/>
      <c r="H589" s="142"/>
      <c r="I589" s="154">
        <f t="shared" si="173"/>
        <v>0</v>
      </c>
      <c r="K589" s="173"/>
    </row>
    <row r="590" spans="1:11" ht="15" customHeight="1" thickBot="1" x14ac:dyDescent="0.25">
      <c r="A590" s="152">
        <v>609</v>
      </c>
      <c r="B590" s="153" t="s">
        <v>123</v>
      </c>
      <c r="C590" s="142">
        <v>0</v>
      </c>
      <c r="D590" s="142"/>
      <c r="E590" s="142"/>
      <c r="F590" s="142"/>
      <c r="G590" s="142"/>
      <c r="H590" s="142"/>
      <c r="I590" s="154">
        <f t="shared" si="173"/>
        <v>0</v>
      </c>
      <c r="K590" s="173"/>
    </row>
    <row r="591" spans="1:11" ht="15" customHeight="1" thickBot="1" x14ac:dyDescent="0.25">
      <c r="A591" s="152">
        <v>650</v>
      </c>
      <c r="B591" s="153" t="s">
        <v>124</v>
      </c>
      <c r="C591" s="142">
        <v>0</v>
      </c>
      <c r="D591" s="142">
        <v>0</v>
      </c>
      <c r="E591" s="142">
        <v>0</v>
      </c>
      <c r="F591" s="142">
        <v>0</v>
      </c>
      <c r="G591" s="142">
        <v>0</v>
      </c>
      <c r="H591" s="142">
        <v>0</v>
      </c>
      <c r="I591" s="154">
        <f t="shared" si="173"/>
        <v>0</v>
      </c>
    </row>
    <row r="592" spans="1:11" ht="15" customHeight="1" thickBot="1" x14ac:dyDescent="0.25">
      <c r="A592" s="152" t="s">
        <v>71</v>
      </c>
      <c r="B592" s="153" t="s">
        <v>72</v>
      </c>
      <c r="C592" s="142">
        <v>0</v>
      </c>
      <c r="D592" s="142">
        <v>0</v>
      </c>
      <c r="E592" s="142">
        <v>0</v>
      </c>
      <c r="F592" s="142">
        <v>0</v>
      </c>
      <c r="G592" s="142">
        <v>0</v>
      </c>
      <c r="H592" s="142">
        <v>0</v>
      </c>
      <c r="I592" s="154">
        <f t="shared" si="173"/>
        <v>0</v>
      </c>
    </row>
    <row r="593" spans="1:9" ht="26.25" thickBot="1" x14ac:dyDescent="0.25">
      <c r="A593" s="156" t="s">
        <v>35</v>
      </c>
      <c r="B593" s="157" t="s">
        <v>73</v>
      </c>
      <c r="C593" s="158">
        <f>SUM(C583:C592)</f>
        <v>14684</v>
      </c>
      <c r="D593" s="158">
        <f t="shared" ref="D593" si="175">SUM(D583:D592)</f>
        <v>13244</v>
      </c>
      <c r="E593" s="158">
        <f t="shared" ref="E593" si="176">SUM(E583:E592)</f>
        <v>13245</v>
      </c>
      <c r="F593" s="158">
        <f t="shared" ref="F593" si="177">SUM(F583:F592)</f>
        <v>22429</v>
      </c>
      <c r="G593" s="158">
        <f t="shared" ref="G593" si="178">SUM(G583:G592)</f>
        <v>22429</v>
      </c>
      <c r="H593" s="158">
        <f t="shared" ref="H593" si="179">SUM(H583:H592)</f>
        <v>21626</v>
      </c>
      <c r="I593" s="154">
        <f t="shared" si="173"/>
        <v>-803</v>
      </c>
    </row>
    <row r="594" spans="1:9" ht="15" customHeight="1" thickBot="1" x14ac:dyDescent="0.25">
      <c r="A594" s="152">
        <v>230</v>
      </c>
      <c r="B594" s="152" t="s">
        <v>74</v>
      </c>
      <c r="C594" s="142">
        <v>0</v>
      </c>
      <c r="D594" s="142">
        <v>0</v>
      </c>
      <c r="E594" s="142">
        <v>0</v>
      </c>
      <c r="F594" s="142">
        <v>0</v>
      </c>
      <c r="G594" s="142">
        <v>0</v>
      </c>
      <c r="H594" s="142">
        <v>0</v>
      </c>
      <c r="I594" s="154">
        <f t="shared" si="173"/>
        <v>0</v>
      </c>
    </row>
    <row r="595" spans="1:9" ht="15" customHeight="1" thickBot="1" x14ac:dyDescent="0.25">
      <c r="A595" s="152">
        <v>231</v>
      </c>
      <c r="B595" s="152" t="s">
        <v>125</v>
      </c>
      <c r="C595" s="142">
        <v>0</v>
      </c>
      <c r="D595" s="142">
        <v>0</v>
      </c>
      <c r="E595" s="142">
        <v>0</v>
      </c>
      <c r="F595" s="142">
        <v>0</v>
      </c>
      <c r="G595" s="142">
        <v>0</v>
      </c>
      <c r="H595" s="142">
        <v>0</v>
      </c>
      <c r="I595" s="154">
        <f t="shared" si="173"/>
        <v>0</v>
      </c>
    </row>
    <row r="596" spans="1:9" ht="15" customHeight="1" thickBot="1" x14ac:dyDescent="0.25">
      <c r="A596" s="152">
        <v>232</v>
      </c>
      <c r="B596" s="152" t="s">
        <v>75</v>
      </c>
      <c r="C596" s="142">
        <v>0</v>
      </c>
      <c r="D596" s="142">
        <v>0</v>
      </c>
      <c r="E596" s="142">
        <v>0</v>
      </c>
      <c r="F596" s="142">
        <v>0</v>
      </c>
      <c r="G596" s="142">
        <v>0</v>
      </c>
      <c r="H596" s="142">
        <v>0</v>
      </c>
      <c r="I596" s="154">
        <f t="shared" si="173"/>
        <v>0</v>
      </c>
    </row>
    <row r="597" spans="1:9" ht="21" customHeight="1" thickBot="1" x14ac:dyDescent="0.25">
      <c r="A597" s="156" t="s">
        <v>35</v>
      </c>
      <c r="B597" s="157" t="s">
        <v>76</v>
      </c>
      <c r="C597" s="158">
        <f t="shared" ref="C597:H597" si="180">SUM(C594:C596)</f>
        <v>0</v>
      </c>
      <c r="D597" s="158">
        <f t="shared" si="180"/>
        <v>0</v>
      </c>
      <c r="E597" s="158">
        <f t="shared" si="180"/>
        <v>0</v>
      </c>
      <c r="F597" s="158">
        <f t="shared" si="180"/>
        <v>0</v>
      </c>
      <c r="G597" s="158">
        <f t="shared" si="180"/>
        <v>0</v>
      </c>
      <c r="H597" s="158">
        <f t="shared" si="180"/>
        <v>0</v>
      </c>
      <c r="I597" s="154">
        <f>SUM(H594-G596)</f>
        <v>0</v>
      </c>
    </row>
    <row r="598" spans="1:9" ht="15" customHeight="1" thickBot="1" x14ac:dyDescent="0.25">
      <c r="A598" s="152">
        <v>230</v>
      </c>
      <c r="B598" s="152" t="s">
        <v>74</v>
      </c>
      <c r="C598" s="142">
        <v>0</v>
      </c>
      <c r="D598" s="142">
        <v>0</v>
      </c>
      <c r="E598" s="142">
        <v>0</v>
      </c>
      <c r="F598" s="142">
        <v>0</v>
      </c>
      <c r="G598" s="142">
        <v>0</v>
      </c>
      <c r="H598" s="142">
        <v>0</v>
      </c>
      <c r="I598" s="154">
        <f>SUM(H598-G598)</f>
        <v>0</v>
      </c>
    </row>
    <row r="599" spans="1:9" ht="15" customHeight="1" thickBot="1" x14ac:dyDescent="0.25">
      <c r="A599" s="152">
        <v>231</v>
      </c>
      <c r="B599" s="152" t="s">
        <v>125</v>
      </c>
      <c r="C599" s="142">
        <v>0</v>
      </c>
      <c r="D599" s="142">
        <v>0</v>
      </c>
      <c r="E599" s="142">
        <v>0</v>
      </c>
      <c r="F599" s="142">
        <v>0</v>
      </c>
      <c r="G599" s="142">
        <v>0</v>
      </c>
      <c r="H599" s="142">
        <v>0</v>
      </c>
      <c r="I599" s="154">
        <f>SUM(H599-G599)</f>
        <v>0</v>
      </c>
    </row>
    <row r="600" spans="1:9" ht="15" customHeight="1" thickBot="1" x14ac:dyDescent="0.25">
      <c r="A600" s="152">
        <v>232</v>
      </c>
      <c r="B600" s="152" t="s">
        <v>75</v>
      </c>
      <c r="C600" s="142">
        <v>0</v>
      </c>
      <c r="D600" s="142">
        <v>0</v>
      </c>
      <c r="E600" s="142">
        <v>0</v>
      </c>
      <c r="F600" s="142">
        <v>0</v>
      </c>
      <c r="G600" s="142">
        <v>0</v>
      </c>
      <c r="H600" s="142">
        <v>0</v>
      </c>
      <c r="I600" s="154">
        <f>SUM(H600-G600)</f>
        <v>0</v>
      </c>
    </row>
    <row r="601" spans="1:9" ht="20.45" customHeight="1" thickBot="1" x14ac:dyDescent="0.25">
      <c r="A601" s="156" t="s">
        <v>35</v>
      </c>
      <c r="B601" s="157" t="s">
        <v>36</v>
      </c>
      <c r="C601" s="158">
        <f t="shared" ref="C601:H601" si="181">SUM(C598:C600)</f>
        <v>0</v>
      </c>
      <c r="D601" s="158">
        <f t="shared" si="181"/>
        <v>0</v>
      </c>
      <c r="E601" s="158">
        <f t="shared" si="181"/>
        <v>0</v>
      </c>
      <c r="F601" s="158">
        <f t="shared" si="181"/>
        <v>0</v>
      </c>
      <c r="G601" s="158">
        <f t="shared" si="181"/>
        <v>0</v>
      </c>
      <c r="H601" s="158">
        <f t="shared" si="181"/>
        <v>0</v>
      </c>
      <c r="I601" s="154">
        <f>SUM(H598-G600)</f>
        <v>0</v>
      </c>
    </row>
    <row r="602" spans="1:9" ht="13.5" thickBot="1" x14ac:dyDescent="0.25">
      <c r="A602" s="156" t="s">
        <v>37</v>
      </c>
      <c r="B602" s="160" t="s">
        <v>38</v>
      </c>
      <c r="C602" s="161">
        <v>0</v>
      </c>
      <c r="D602" s="161">
        <v>0</v>
      </c>
      <c r="E602" s="161">
        <v>0</v>
      </c>
      <c r="F602" s="161">
        <v>0</v>
      </c>
      <c r="G602" s="161">
        <v>0</v>
      </c>
      <c r="H602" s="161">
        <v>0</v>
      </c>
      <c r="I602" s="154">
        <f>SUM(H602-G602)</f>
        <v>0</v>
      </c>
    </row>
    <row r="603" spans="1:9" ht="13.5" thickBot="1" x14ac:dyDescent="0.25">
      <c r="A603" s="245" t="s">
        <v>77</v>
      </c>
      <c r="B603" s="246"/>
      <c r="C603" s="162">
        <f t="shared" ref="C603:H603" si="182">C593+C597</f>
        <v>14684</v>
      </c>
      <c r="D603" s="162">
        <f t="shared" si="182"/>
        <v>13244</v>
      </c>
      <c r="E603" s="162">
        <f t="shared" si="182"/>
        <v>13245</v>
      </c>
      <c r="F603" s="162">
        <f t="shared" si="182"/>
        <v>22429</v>
      </c>
      <c r="G603" s="162">
        <f t="shared" si="182"/>
        <v>22429</v>
      </c>
      <c r="H603" s="162">
        <f t="shared" si="182"/>
        <v>21626</v>
      </c>
      <c r="I603" s="163">
        <f>SUM(H603-G603)</f>
        <v>-803</v>
      </c>
    </row>
    <row r="605" spans="1:9" ht="19.149999999999999" customHeight="1" x14ac:dyDescent="0.2">
      <c r="A605" s="244" t="s">
        <v>66</v>
      </c>
      <c r="B605" s="164" t="s">
        <v>20</v>
      </c>
      <c r="C605" s="165" t="s">
        <v>302</v>
      </c>
      <c r="D605" s="244" t="s">
        <v>19</v>
      </c>
      <c r="E605" s="166" t="s">
        <v>283</v>
      </c>
    </row>
    <row r="606" spans="1:9" ht="21" customHeight="1" x14ac:dyDescent="0.2">
      <c r="A606" s="244"/>
      <c r="B606" s="164" t="s">
        <v>21</v>
      </c>
      <c r="C606" s="165"/>
      <c r="D606" s="244"/>
      <c r="E606" s="166"/>
    </row>
    <row r="607" spans="1:9" ht="22.9" customHeight="1" x14ac:dyDescent="0.2">
      <c r="A607" s="244"/>
      <c r="B607" s="164" t="s">
        <v>22</v>
      </c>
      <c r="C607" s="165" t="str">
        <f>C566</f>
        <v>08.02.2022</v>
      </c>
      <c r="D607" s="244"/>
      <c r="E607" s="166" t="str">
        <f>E566</f>
        <v>08.02.2022</v>
      </c>
    </row>
    <row r="617" spans="1:9" ht="15.75" customHeight="1" x14ac:dyDescent="0.2">
      <c r="A617" s="150"/>
      <c r="B617" s="192"/>
      <c r="C617" s="138"/>
      <c r="D617" s="138"/>
      <c r="E617" s="138"/>
      <c r="F617" s="138"/>
      <c r="G617" s="138"/>
      <c r="H617" s="138"/>
      <c r="I617" s="179" t="s">
        <v>68</v>
      </c>
    </row>
    <row r="618" spans="1:9" ht="24.95" customHeight="1" thickBot="1" x14ac:dyDescent="0.25">
      <c r="A618" s="194" t="s">
        <v>25</v>
      </c>
      <c r="B618" s="195" t="s">
        <v>115</v>
      </c>
      <c r="C618" s="247"/>
      <c r="D618" s="247"/>
      <c r="E618" s="247"/>
      <c r="F618" s="247"/>
      <c r="G618" s="247"/>
      <c r="H618" s="180" t="s">
        <v>26</v>
      </c>
      <c r="I618" s="181">
        <v>2137001</v>
      </c>
    </row>
    <row r="619" spans="1:9" ht="24.95" customHeight="1" thickBot="1" x14ac:dyDescent="0.25">
      <c r="A619" s="196" t="s">
        <v>28</v>
      </c>
      <c r="B619" s="143" t="s">
        <v>107</v>
      </c>
      <c r="C619" s="248"/>
      <c r="D619" s="248"/>
      <c r="E619" s="248"/>
      <c r="F619" s="248"/>
      <c r="G619" s="248"/>
      <c r="H619" s="141" t="s">
        <v>69</v>
      </c>
      <c r="I619" s="167">
        <v>8220</v>
      </c>
    </row>
    <row r="620" spans="1:9" ht="24.95" customHeight="1" thickBot="1" x14ac:dyDescent="0.25">
      <c r="A620" s="197" t="s">
        <v>30</v>
      </c>
      <c r="B620" s="240" t="s">
        <v>17</v>
      </c>
      <c r="C620" s="145">
        <v>-1</v>
      </c>
      <c r="D620" s="145">
        <v>-2</v>
      </c>
      <c r="E620" s="145">
        <v>-3</v>
      </c>
      <c r="F620" s="146">
        <v>-4</v>
      </c>
      <c r="G620" s="146">
        <v>-5</v>
      </c>
      <c r="H620" s="146">
        <v>-6</v>
      </c>
      <c r="I620" s="168" t="s">
        <v>11</v>
      </c>
    </row>
    <row r="621" spans="1:9" ht="24.95" customHeight="1" x14ac:dyDescent="0.2">
      <c r="A621" s="197"/>
      <c r="B621" s="241"/>
      <c r="C621" s="148" t="s">
        <v>12</v>
      </c>
      <c r="D621" s="148" t="s">
        <v>13</v>
      </c>
      <c r="E621" s="148" t="s">
        <v>14</v>
      </c>
      <c r="F621" s="148" t="s">
        <v>14</v>
      </c>
      <c r="G621" s="148" t="s">
        <v>14</v>
      </c>
      <c r="H621" s="148" t="s">
        <v>31</v>
      </c>
      <c r="I621" s="184" t="s">
        <v>15</v>
      </c>
    </row>
    <row r="622" spans="1:9" ht="24.95" customHeight="1" x14ac:dyDescent="0.2">
      <c r="A622" s="197"/>
      <c r="B622" s="242"/>
      <c r="C622" s="128" t="s">
        <v>292</v>
      </c>
      <c r="D622" s="128" t="s">
        <v>293</v>
      </c>
      <c r="E622" s="128" t="s">
        <v>294</v>
      </c>
      <c r="F622" s="128" t="s">
        <v>116</v>
      </c>
      <c r="G622" s="150" t="s">
        <v>32</v>
      </c>
      <c r="H622" s="128" t="s">
        <v>33</v>
      </c>
      <c r="I622" s="186"/>
    </row>
    <row r="623" spans="1:9" ht="24.95" customHeight="1" x14ac:dyDescent="0.2">
      <c r="A623" s="198"/>
      <c r="B623" s="249"/>
      <c r="C623" s="190"/>
      <c r="D623" s="188"/>
      <c r="E623" s="188"/>
      <c r="F623" s="188"/>
      <c r="G623" s="189"/>
      <c r="H623" s="190" t="s">
        <v>34</v>
      </c>
      <c r="I623" s="191"/>
    </row>
    <row r="624" spans="1:9" ht="15" customHeight="1" thickBot="1" x14ac:dyDescent="0.25">
      <c r="A624" s="152">
        <v>600</v>
      </c>
      <c r="B624" s="153" t="s">
        <v>117</v>
      </c>
      <c r="C624" s="171">
        <f>2998+485</f>
        <v>3483</v>
      </c>
      <c r="D624" s="193">
        <f>3000+1096</f>
        <v>4096</v>
      </c>
      <c r="E624" s="193">
        <f t="shared" ref="E624" si="183">3000+1096</f>
        <v>4096</v>
      </c>
      <c r="F624" s="171">
        <f>3000+1096</f>
        <v>4096</v>
      </c>
      <c r="G624" s="171">
        <f>3000+1096</f>
        <v>4096</v>
      </c>
      <c r="H624" s="171">
        <f>3000+989</f>
        <v>3989</v>
      </c>
      <c r="I624" s="154">
        <f t="shared" ref="I624:I637" si="184">SUM(H624-G624)</f>
        <v>-107</v>
      </c>
    </row>
    <row r="625" spans="1:9" ht="15" customHeight="1" thickBot="1" x14ac:dyDescent="0.25">
      <c r="A625" s="152">
        <v>601</v>
      </c>
      <c r="B625" s="153" t="s">
        <v>118</v>
      </c>
      <c r="C625" s="142">
        <f>528</f>
        <v>528</v>
      </c>
      <c r="D625" s="159">
        <f>567</f>
        <v>567</v>
      </c>
      <c r="E625" s="159">
        <f>567</f>
        <v>567</v>
      </c>
      <c r="F625" s="142">
        <f>667</f>
        <v>667</v>
      </c>
      <c r="G625" s="142">
        <f>667</f>
        <v>667</v>
      </c>
      <c r="H625" s="142">
        <v>606</v>
      </c>
      <c r="I625" s="154">
        <f t="shared" si="184"/>
        <v>-61</v>
      </c>
    </row>
    <row r="626" spans="1:9" ht="15" customHeight="1" thickBot="1" x14ac:dyDescent="0.25">
      <c r="A626" s="152">
        <v>602</v>
      </c>
      <c r="B626" s="153" t="s">
        <v>119</v>
      </c>
      <c r="C626" s="142">
        <v>248</v>
      </c>
      <c r="D626" s="159">
        <f>300+334</f>
        <v>634</v>
      </c>
      <c r="E626" s="159">
        <f t="shared" ref="E626" si="185">300+334</f>
        <v>634</v>
      </c>
      <c r="F626" s="142">
        <f>300+334</f>
        <v>634</v>
      </c>
      <c r="G626" s="142">
        <f>300+334</f>
        <v>634</v>
      </c>
      <c r="H626" s="142">
        <f>189+37</f>
        <v>226</v>
      </c>
      <c r="I626" s="154">
        <f t="shared" si="184"/>
        <v>-408</v>
      </c>
    </row>
    <row r="627" spans="1:9" ht="15" customHeight="1" thickBot="1" x14ac:dyDescent="0.25">
      <c r="A627" s="152">
        <v>603</v>
      </c>
      <c r="B627" s="153" t="s">
        <v>120</v>
      </c>
      <c r="C627" s="142">
        <v>0</v>
      </c>
      <c r="D627" s="142"/>
      <c r="E627" s="142"/>
      <c r="F627" s="142"/>
      <c r="G627" s="142"/>
      <c r="H627" s="142"/>
      <c r="I627" s="154">
        <f t="shared" si="184"/>
        <v>0</v>
      </c>
    </row>
    <row r="628" spans="1:9" ht="15" customHeight="1" thickBot="1" x14ac:dyDescent="0.25">
      <c r="A628" s="152">
        <v>604</v>
      </c>
      <c r="B628" s="153" t="s">
        <v>121</v>
      </c>
      <c r="C628" s="142">
        <v>0</v>
      </c>
      <c r="D628" s="142">
        <v>0</v>
      </c>
      <c r="E628" s="142">
        <v>0</v>
      </c>
      <c r="F628" s="142">
        <v>0</v>
      </c>
      <c r="G628" s="142">
        <v>0</v>
      </c>
      <c r="H628" s="142">
        <v>0</v>
      </c>
      <c r="I628" s="154">
        <f t="shared" si="184"/>
        <v>0</v>
      </c>
    </row>
    <row r="629" spans="1:9" ht="15" customHeight="1" thickBot="1" x14ac:dyDescent="0.25">
      <c r="A629" s="152">
        <v>605</v>
      </c>
      <c r="B629" s="153" t="s">
        <v>122</v>
      </c>
      <c r="C629" s="142">
        <v>0</v>
      </c>
      <c r="D629" s="142">
        <v>0</v>
      </c>
      <c r="E629" s="142">
        <v>0</v>
      </c>
      <c r="F629" s="142">
        <v>0</v>
      </c>
      <c r="G629" s="142">
        <v>0</v>
      </c>
      <c r="H629" s="142">
        <v>0</v>
      </c>
      <c r="I629" s="154">
        <f t="shared" si="184"/>
        <v>0</v>
      </c>
    </row>
    <row r="630" spans="1:9" ht="15" customHeight="1" thickBot="1" x14ac:dyDescent="0.25">
      <c r="A630" s="152">
        <v>606</v>
      </c>
      <c r="B630" s="153" t="s">
        <v>70</v>
      </c>
      <c r="C630" s="142">
        <v>0</v>
      </c>
      <c r="D630" s="142">
        <v>0</v>
      </c>
      <c r="E630" s="142">
        <v>0</v>
      </c>
      <c r="F630" s="142">
        <v>0</v>
      </c>
      <c r="G630" s="142">
        <v>0</v>
      </c>
      <c r="H630" s="142">
        <v>0</v>
      </c>
      <c r="I630" s="154">
        <f t="shared" si="184"/>
        <v>0</v>
      </c>
    </row>
    <row r="631" spans="1:9" ht="15" customHeight="1" thickBot="1" x14ac:dyDescent="0.25">
      <c r="A631" s="152">
        <v>609</v>
      </c>
      <c r="B631" s="153" t="s">
        <v>123</v>
      </c>
      <c r="C631" s="142">
        <v>0</v>
      </c>
      <c r="D631" s="142">
        <v>0</v>
      </c>
      <c r="E631" s="142">
        <v>0</v>
      </c>
      <c r="F631" s="142">
        <v>0</v>
      </c>
      <c r="G631" s="142">
        <v>0</v>
      </c>
      <c r="H631" s="142">
        <v>0</v>
      </c>
      <c r="I631" s="154">
        <f t="shared" si="184"/>
        <v>0</v>
      </c>
    </row>
    <row r="632" spans="1:9" ht="15" customHeight="1" thickBot="1" x14ac:dyDescent="0.25">
      <c r="A632" s="152">
        <v>650</v>
      </c>
      <c r="B632" s="153" t="s">
        <v>124</v>
      </c>
      <c r="C632" s="142">
        <v>0</v>
      </c>
      <c r="D632" s="142">
        <v>0</v>
      </c>
      <c r="E632" s="142">
        <v>0</v>
      </c>
      <c r="F632" s="142">
        <v>0</v>
      </c>
      <c r="G632" s="142">
        <v>0</v>
      </c>
      <c r="H632" s="142">
        <v>0</v>
      </c>
      <c r="I632" s="154">
        <f t="shared" si="184"/>
        <v>0</v>
      </c>
    </row>
    <row r="633" spans="1:9" ht="15" customHeight="1" thickBot="1" x14ac:dyDescent="0.25">
      <c r="A633" s="152" t="s">
        <v>71</v>
      </c>
      <c r="B633" s="153" t="s">
        <v>72</v>
      </c>
      <c r="C633" s="142">
        <v>0</v>
      </c>
      <c r="D633" s="142">
        <v>0</v>
      </c>
      <c r="E633" s="142">
        <v>0</v>
      </c>
      <c r="F633" s="142">
        <v>0</v>
      </c>
      <c r="G633" s="142">
        <v>0</v>
      </c>
      <c r="H633" s="142">
        <v>0</v>
      </c>
      <c r="I633" s="154">
        <f t="shared" si="184"/>
        <v>0</v>
      </c>
    </row>
    <row r="634" spans="1:9" ht="26.25" thickBot="1" x14ac:dyDescent="0.25">
      <c r="A634" s="156" t="s">
        <v>35</v>
      </c>
      <c r="B634" s="157" t="s">
        <v>73</v>
      </c>
      <c r="C634" s="158">
        <f>SUM(C624:C633)</f>
        <v>4259</v>
      </c>
      <c r="D634" s="158">
        <f t="shared" ref="D634" si="186">SUM(D624:D633)</f>
        <v>5297</v>
      </c>
      <c r="E634" s="158">
        <f t="shared" ref="E634" si="187">SUM(E624:E633)</f>
        <v>5297</v>
      </c>
      <c r="F634" s="158">
        <f t="shared" ref="F634" si="188">SUM(F624:F633)</f>
        <v>5397</v>
      </c>
      <c r="G634" s="158">
        <f t="shared" ref="G634" si="189">SUM(G624:G633)</f>
        <v>5397</v>
      </c>
      <c r="H634" s="158">
        <f t="shared" ref="H634" si="190">SUM(H624:H633)</f>
        <v>4821</v>
      </c>
      <c r="I634" s="154">
        <f t="shared" si="184"/>
        <v>-576</v>
      </c>
    </row>
    <row r="635" spans="1:9" ht="15" customHeight="1" thickBot="1" x14ac:dyDescent="0.25">
      <c r="A635" s="152">
        <v>230</v>
      </c>
      <c r="B635" s="152" t="s">
        <v>74</v>
      </c>
      <c r="C635" s="142">
        <v>0</v>
      </c>
      <c r="D635" s="142">
        <v>0</v>
      </c>
      <c r="E635" s="142">
        <v>0</v>
      </c>
      <c r="F635" s="142">
        <v>0</v>
      </c>
      <c r="G635" s="142">
        <v>0</v>
      </c>
      <c r="H635" s="142">
        <v>0</v>
      </c>
      <c r="I635" s="154">
        <f t="shared" si="184"/>
        <v>0</v>
      </c>
    </row>
    <row r="636" spans="1:9" ht="15" customHeight="1" thickBot="1" x14ac:dyDescent="0.25">
      <c r="A636" s="152">
        <v>231</v>
      </c>
      <c r="B636" s="152" t="s">
        <v>125</v>
      </c>
      <c r="C636" s="142">
        <v>0</v>
      </c>
      <c r="D636" s="142"/>
      <c r="E636" s="142"/>
      <c r="F636" s="142">
        <v>500</v>
      </c>
      <c r="G636" s="142">
        <v>500</v>
      </c>
      <c r="H636" s="142">
        <v>0</v>
      </c>
      <c r="I636" s="154">
        <f t="shared" si="184"/>
        <v>-500</v>
      </c>
    </row>
    <row r="637" spans="1:9" ht="15" customHeight="1" thickBot="1" x14ac:dyDescent="0.25">
      <c r="A637" s="152">
        <v>232</v>
      </c>
      <c r="B637" s="152" t="s">
        <v>75</v>
      </c>
      <c r="C637" s="142">
        <v>0</v>
      </c>
      <c r="D637" s="142">
        <v>0</v>
      </c>
      <c r="E637" s="142">
        <v>0</v>
      </c>
      <c r="F637" s="142">
        <v>0</v>
      </c>
      <c r="G637" s="142">
        <v>0</v>
      </c>
      <c r="H637" s="142">
        <v>0</v>
      </c>
      <c r="I637" s="154">
        <f t="shared" si="184"/>
        <v>0</v>
      </c>
    </row>
    <row r="638" spans="1:9" ht="21" customHeight="1" thickBot="1" x14ac:dyDescent="0.25">
      <c r="A638" s="156" t="s">
        <v>35</v>
      </c>
      <c r="B638" s="157" t="s">
        <v>76</v>
      </c>
      <c r="C638" s="158">
        <f t="shared" ref="C638:H638" si="191">SUM(C635:C637)</f>
        <v>0</v>
      </c>
      <c r="D638" s="158">
        <f t="shared" si="191"/>
        <v>0</v>
      </c>
      <c r="E638" s="158">
        <f t="shared" si="191"/>
        <v>0</v>
      </c>
      <c r="F638" s="158">
        <f t="shared" si="191"/>
        <v>500</v>
      </c>
      <c r="G638" s="158">
        <f t="shared" si="191"/>
        <v>500</v>
      </c>
      <c r="H638" s="158">
        <f t="shared" si="191"/>
        <v>0</v>
      </c>
      <c r="I638" s="154">
        <f>SUM(H635-G637)</f>
        <v>0</v>
      </c>
    </row>
    <row r="639" spans="1:9" ht="15" customHeight="1" thickBot="1" x14ac:dyDescent="0.25">
      <c r="A639" s="152">
        <v>230</v>
      </c>
      <c r="B639" s="152" t="s">
        <v>74</v>
      </c>
      <c r="C639" s="142">
        <v>0</v>
      </c>
      <c r="D639" s="142">
        <v>0</v>
      </c>
      <c r="E639" s="142">
        <v>0</v>
      </c>
      <c r="F639" s="142">
        <v>0</v>
      </c>
      <c r="G639" s="142">
        <v>0</v>
      </c>
      <c r="H639" s="142">
        <v>0</v>
      </c>
      <c r="I639" s="154">
        <f>SUM(H639-G639)</f>
        <v>0</v>
      </c>
    </row>
    <row r="640" spans="1:9" ht="15" customHeight="1" thickBot="1" x14ac:dyDescent="0.25">
      <c r="A640" s="152">
        <v>231</v>
      </c>
      <c r="B640" s="152" t="s">
        <v>125</v>
      </c>
      <c r="C640" s="142">
        <v>0</v>
      </c>
      <c r="D640" s="142">
        <v>0</v>
      </c>
      <c r="E640" s="142">
        <v>0</v>
      </c>
      <c r="F640" s="142">
        <v>0</v>
      </c>
      <c r="G640" s="142">
        <v>0</v>
      </c>
      <c r="H640" s="142">
        <v>0</v>
      </c>
      <c r="I640" s="154">
        <f>SUM(H640-G640)</f>
        <v>0</v>
      </c>
    </row>
    <row r="641" spans="1:9" ht="15" customHeight="1" thickBot="1" x14ac:dyDescent="0.25">
      <c r="A641" s="152">
        <v>232</v>
      </c>
      <c r="B641" s="152" t="s">
        <v>75</v>
      </c>
      <c r="C641" s="142">
        <v>0</v>
      </c>
      <c r="D641" s="142">
        <v>0</v>
      </c>
      <c r="E641" s="142">
        <v>0</v>
      </c>
      <c r="F641" s="142">
        <v>0</v>
      </c>
      <c r="G641" s="142">
        <v>0</v>
      </c>
      <c r="H641" s="142">
        <v>0</v>
      </c>
      <c r="I641" s="154">
        <f>SUM(H641-G641)</f>
        <v>0</v>
      </c>
    </row>
    <row r="642" spans="1:9" ht="20.45" customHeight="1" thickBot="1" x14ac:dyDescent="0.25">
      <c r="A642" s="156" t="s">
        <v>35</v>
      </c>
      <c r="B642" s="157" t="s">
        <v>36</v>
      </c>
      <c r="C642" s="158">
        <f t="shared" ref="C642:H642" si="192">SUM(C639:C641)</f>
        <v>0</v>
      </c>
      <c r="D642" s="158">
        <f t="shared" si="192"/>
        <v>0</v>
      </c>
      <c r="E642" s="158">
        <f t="shared" si="192"/>
        <v>0</v>
      </c>
      <c r="F642" s="158">
        <f t="shared" si="192"/>
        <v>0</v>
      </c>
      <c r="G642" s="158">
        <f t="shared" si="192"/>
        <v>0</v>
      </c>
      <c r="H642" s="158">
        <f t="shared" si="192"/>
        <v>0</v>
      </c>
      <c r="I642" s="154">
        <f>SUM(H639-G641)</f>
        <v>0</v>
      </c>
    </row>
    <row r="643" spans="1:9" ht="13.5" thickBot="1" x14ac:dyDescent="0.25">
      <c r="A643" s="156" t="s">
        <v>37</v>
      </c>
      <c r="B643" s="160" t="s">
        <v>38</v>
      </c>
      <c r="C643" s="161">
        <f>C638+C642</f>
        <v>0</v>
      </c>
      <c r="D643" s="161">
        <f t="shared" ref="D643" si="193">D638+D642</f>
        <v>0</v>
      </c>
      <c r="E643" s="161">
        <f t="shared" ref="E643" si="194">E638+E642</f>
        <v>0</v>
      </c>
      <c r="F643" s="161">
        <f t="shared" ref="F643" si="195">F638+F642</f>
        <v>500</v>
      </c>
      <c r="G643" s="161">
        <f t="shared" ref="G643" si="196">G638+G642</f>
        <v>500</v>
      </c>
      <c r="H643" s="161">
        <f t="shared" ref="H643" si="197">H638+H642</f>
        <v>0</v>
      </c>
      <c r="I643" s="161">
        <f>I638+I642</f>
        <v>0</v>
      </c>
    </row>
    <row r="644" spans="1:9" ht="13.5" thickBot="1" x14ac:dyDescent="0.25">
      <c r="A644" s="245" t="s">
        <v>77</v>
      </c>
      <c r="B644" s="246"/>
      <c r="C644" s="162">
        <f t="shared" ref="C644:I644" si="198">C634+C638</f>
        <v>4259</v>
      </c>
      <c r="D644" s="162">
        <f t="shared" si="198"/>
        <v>5297</v>
      </c>
      <c r="E644" s="162">
        <f t="shared" si="198"/>
        <v>5297</v>
      </c>
      <c r="F644" s="162">
        <f t="shared" si="198"/>
        <v>5897</v>
      </c>
      <c r="G644" s="162">
        <f t="shared" si="198"/>
        <v>5897</v>
      </c>
      <c r="H644" s="162">
        <f t="shared" si="198"/>
        <v>4821</v>
      </c>
      <c r="I644" s="162">
        <f t="shared" si="198"/>
        <v>-576</v>
      </c>
    </row>
    <row r="646" spans="1:9" ht="19.149999999999999" customHeight="1" x14ac:dyDescent="0.2">
      <c r="A646" s="244" t="s">
        <v>66</v>
      </c>
      <c r="B646" s="164" t="s">
        <v>20</v>
      </c>
      <c r="C646" s="165" t="s">
        <v>302</v>
      </c>
      <c r="D646" s="244" t="s">
        <v>19</v>
      </c>
      <c r="E646" s="166" t="s">
        <v>283</v>
      </c>
    </row>
    <row r="647" spans="1:9" ht="21" customHeight="1" x14ac:dyDescent="0.2">
      <c r="A647" s="244"/>
      <c r="B647" s="164" t="s">
        <v>21</v>
      </c>
      <c r="C647" s="165"/>
      <c r="D647" s="244"/>
      <c r="E647" s="166"/>
    </row>
    <row r="648" spans="1:9" ht="22.9" customHeight="1" x14ac:dyDescent="0.2">
      <c r="A648" s="244"/>
      <c r="B648" s="164" t="s">
        <v>22</v>
      </c>
      <c r="C648" s="165" t="str">
        <f>C607</f>
        <v>08.02.2022</v>
      </c>
      <c r="D648" s="244"/>
      <c r="E648" s="166" t="str">
        <f>E607</f>
        <v>08.02.2022</v>
      </c>
    </row>
    <row r="658" spans="1:11" ht="15.75" customHeight="1" thickBot="1" x14ac:dyDescent="0.25">
      <c r="A658" s="136"/>
      <c r="B658" s="137"/>
      <c r="C658" s="138"/>
      <c r="D658" s="138"/>
      <c r="E658" s="138"/>
      <c r="F658" s="138"/>
      <c r="G658" s="138"/>
      <c r="H658" s="138"/>
      <c r="I658" s="130" t="s">
        <v>68</v>
      </c>
    </row>
    <row r="659" spans="1:11" ht="24.95" customHeight="1" thickBot="1" x14ac:dyDescent="0.25">
      <c r="A659" s="139" t="s">
        <v>25</v>
      </c>
      <c r="B659" s="140" t="s">
        <v>115</v>
      </c>
      <c r="C659" s="239"/>
      <c r="D659" s="239"/>
      <c r="E659" s="239"/>
      <c r="F659" s="239"/>
      <c r="G659" s="239"/>
      <c r="H659" s="141" t="s">
        <v>26</v>
      </c>
      <c r="I659" s="142">
        <v>2137001</v>
      </c>
    </row>
    <row r="660" spans="1:11" ht="24.95" customHeight="1" thickBot="1" x14ac:dyDescent="0.25">
      <c r="A660" s="30" t="s">
        <v>28</v>
      </c>
      <c r="B660" s="143" t="s">
        <v>108</v>
      </c>
      <c r="C660" s="239"/>
      <c r="D660" s="239"/>
      <c r="E660" s="239"/>
      <c r="F660" s="239"/>
      <c r="G660" s="239"/>
      <c r="H660" s="141" t="s">
        <v>69</v>
      </c>
      <c r="I660" s="142">
        <v>9120</v>
      </c>
    </row>
    <row r="661" spans="1:11" ht="24.95" customHeight="1" thickBot="1" x14ac:dyDescent="0.25">
      <c r="A661" s="127" t="s">
        <v>30</v>
      </c>
      <c r="B661" s="240" t="s">
        <v>17</v>
      </c>
      <c r="C661" s="145">
        <v>-1</v>
      </c>
      <c r="D661" s="145">
        <v>-2</v>
      </c>
      <c r="E661" s="145">
        <v>-3</v>
      </c>
      <c r="F661" s="146">
        <v>-4</v>
      </c>
      <c r="G661" s="146">
        <v>-5</v>
      </c>
      <c r="H661" s="146">
        <v>-6</v>
      </c>
      <c r="I661" s="146" t="s">
        <v>11</v>
      </c>
    </row>
    <row r="662" spans="1:11" ht="24.95" customHeight="1" x14ac:dyDescent="0.2">
      <c r="A662" s="127"/>
      <c r="B662" s="241"/>
      <c r="C662" s="148" t="s">
        <v>12</v>
      </c>
      <c r="D662" s="148" t="s">
        <v>13</v>
      </c>
      <c r="E662" s="148" t="s">
        <v>14</v>
      </c>
      <c r="F662" s="148" t="s">
        <v>14</v>
      </c>
      <c r="G662" s="148" t="s">
        <v>14</v>
      </c>
      <c r="H662" s="148" t="s">
        <v>31</v>
      </c>
      <c r="I662" s="126" t="s">
        <v>15</v>
      </c>
    </row>
    <row r="663" spans="1:11" ht="24.95" customHeight="1" x14ac:dyDescent="0.2">
      <c r="A663" s="127"/>
      <c r="B663" s="242"/>
      <c r="C663" s="128" t="s">
        <v>292</v>
      </c>
      <c r="D663" s="128" t="s">
        <v>293</v>
      </c>
      <c r="E663" s="128" t="s">
        <v>294</v>
      </c>
      <c r="F663" s="128" t="s">
        <v>116</v>
      </c>
      <c r="G663" s="150" t="s">
        <v>32</v>
      </c>
      <c r="H663" s="128" t="s">
        <v>33</v>
      </c>
      <c r="I663" s="128"/>
    </row>
    <row r="664" spans="1:11" ht="24.95" customHeight="1" thickBot="1" x14ac:dyDescent="0.3">
      <c r="A664" s="30"/>
      <c r="B664" s="243"/>
      <c r="C664" s="129"/>
      <c r="D664" s="30"/>
      <c r="E664" s="30"/>
      <c r="F664" s="30"/>
      <c r="G664" s="151"/>
      <c r="H664" s="129" t="s">
        <v>34</v>
      </c>
      <c r="I664" s="129"/>
      <c r="K664"/>
    </row>
    <row r="665" spans="1:11" ht="15" customHeight="1" thickBot="1" x14ac:dyDescent="0.3">
      <c r="A665" s="152">
        <v>600</v>
      </c>
      <c r="B665" s="153" t="s">
        <v>117</v>
      </c>
      <c r="C665" s="142">
        <v>33466</v>
      </c>
      <c r="D665" s="159">
        <f>34782</f>
        <v>34782</v>
      </c>
      <c r="E665" s="159">
        <f>34782</f>
        <v>34782</v>
      </c>
      <c r="F665" s="142">
        <f>36858</f>
        <v>36858</v>
      </c>
      <c r="G665" s="142">
        <f>36858</f>
        <v>36858</v>
      </c>
      <c r="H665" s="142">
        <v>34941</v>
      </c>
      <c r="I665" s="154">
        <f t="shared" ref="I665:I674" si="199">SUM(H665-G665)</f>
        <v>-1917</v>
      </c>
      <c r="K665"/>
    </row>
    <row r="666" spans="1:11" ht="15" customHeight="1" thickBot="1" x14ac:dyDescent="0.3">
      <c r="A666" s="152">
        <v>601</v>
      </c>
      <c r="B666" s="153" t="s">
        <v>118</v>
      </c>
      <c r="C666" s="142">
        <v>5600</v>
      </c>
      <c r="D666" s="159">
        <v>5640</v>
      </c>
      <c r="E666" s="159">
        <v>5641</v>
      </c>
      <c r="F666" s="142">
        <v>5999</v>
      </c>
      <c r="G666" s="142">
        <v>5999</v>
      </c>
      <c r="H666" s="142">
        <v>5829</v>
      </c>
      <c r="I666" s="154">
        <f t="shared" si="199"/>
        <v>-170</v>
      </c>
      <c r="K666"/>
    </row>
    <row r="667" spans="1:11" ht="15" customHeight="1" thickBot="1" x14ac:dyDescent="0.3">
      <c r="A667" s="152">
        <v>602</v>
      </c>
      <c r="B667" s="153" t="s">
        <v>119</v>
      </c>
      <c r="C667" s="142">
        <f>1826+903</f>
        <v>2729</v>
      </c>
      <c r="D667" s="159">
        <f>2711+500</f>
        <v>3211</v>
      </c>
      <c r="E667" s="159">
        <f t="shared" ref="E667" si="200">2711+500</f>
        <v>3211</v>
      </c>
      <c r="F667" s="142">
        <f>500+2711</f>
        <v>3211</v>
      </c>
      <c r="G667" s="142">
        <f>500+2711</f>
        <v>3211</v>
      </c>
      <c r="H667" s="142">
        <f>500+2491</f>
        <v>2991</v>
      </c>
      <c r="I667" s="154">
        <f t="shared" si="199"/>
        <v>-220</v>
      </c>
      <c r="K667"/>
    </row>
    <row r="668" spans="1:11" ht="15" customHeight="1" thickBot="1" x14ac:dyDescent="0.3">
      <c r="A668" s="152">
        <v>603</v>
      </c>
      <c r="B668" s="153" t="s">
        <v>120</v>
      </c>
      <c r="C668" s="142">
        <v>0</v>
      </c>
      <c r="D668" s="142"/>
      <c r="E668" s="142"/>
      <c r="F668" s="142"/>
      <c r="G668" s="142"/>
      <c r="H668" s="142"/>
      <c r="I668" s="154">
        <f t="shared" si="199"/>
        <v>0</v>
      </c>
      <c r="K668"/>
    </row>
    <row r="669" spans="1:11" ht="15" customHeight="1" thickBot="1" x14ac:dyDescent="0.3">
      <c r="A669" s="152">
        <v>604</v>
      </c>
      <c r="B669" s="153" t="s">
        <v>121</v>
      </c>
      <c r="C669" s="142">
        <v>0</v>
      </c>
      <c r="D669" s="142"/>
      <c r="E669" s="142"/>
      <c r="F669" s="142"/>
      <c r="G669" s="142"/>
      <c r="H669" s="142"/>
      <c r="I669" s="154">
        <f t="shared" si="199"/>
        <v>0</v>
      </c>
      <c r="K669"/>
    </row>
    <row r="670" spans="1:11" ht="15" customHeight="1" thickBot="1" x14ac:dyDescent="0.3">
      <c r="A670" s="152">
        <v>605</v>
      </c>
      <c r="B670" s="153" t="s">
        <v>122</v>
      </c>
      <c r="C670" s="142">
        <v>0</v>
      </c>
      <c r="D670" s="142"/>
      <c r="E670" s="142"/>
      <c r="F670" s="142"/>
      <c r="G670" s="142"/>
      <c r="H670" s="142"/>
      <c r="I670" s="154">
        <f t="shared" si="199"/>
        <v>0</v>
      </c>
      <c r="K670"/>
    </row>
    <row r="671" spans="1:11" ht="15" customHeight="1" thickBot="1" x14ac:dyDescent="0.3">
      <c r="A671" s="152">
        <v>606</v>
      </c>
      <c r="B671" s="153" t="s">
        <v>70</v>
      </c>
      <c r="C671" s="142">
        <v>168</v>
      </c>
      <c r="D671" s="142"/>
      <c r="E671" s="142"/>
      <c r="F671" s="142">
        <v>74</v>
      </c>
      <c r="G671" s="142">
        <v>74</v>
      </c>
      <c r="H671" s="142">
        <v>74</v>
      </c>
      <c r="I671" s="154">
        <f t="shared" si="199"/>
        <v>0</v>
      </c>
      <c r="K671"/>
    </row>
    <row r="672" spans="1:11" ht="15" customHeight="1" thickBot="1" x14ac:dyDescent="0.3">
      <c r="A672" s="152">
        <v>609</v>
      </c>
      <c r="B672" s="153" t="s">
        <v>123</v>
      </c>
      <c r="C672" s="142">
        <v>0</v>
      </c>
      <c r="D672" s="142"/>
      <c r="E672" s="142"/>
      <c r="F672" s="142"/>
      <c r="G672" s="142"/>
      <c r="H672" s="142"/>
      <c r="I672" s="154">
        <f t="shared" si="199"/>
        <v>0</v>
      </c>
      <c r="K672"/>
    </row>
    <row r="673" spans="1:11" ht="15" customHeight="1" thickBot="1" x14ac:dyDescent="0.3">
      <c r="A673" s="152">
        <v>650</v>
      </c>
      <c r="B673" s="153" t="s">
        <v>124</v>
      </c>
      <c r="C673" s="142">
        <v>0</v>
      </c>
      <c r="D673" s="142">
        <v>0</v>
      </c>
      <c r="E673" s="142">
        <v>0</v>
      </c>
      <c r="F673" s="142">
        <v>0</v>
      </c>
      <c r="G673" s="142">
        <v>0</v>
      </c>
      <c r="H673" s="142">
        <v>0</v>
      </c>
      <c r="I673" s="154">
        <f t="shared" si="199"/>
        <v>0</v>
      </c>
      <c r="K673"/>
    </row>
    <row r="674" spans="1:11" ht="15" customHeight="1" thickBot="1" x14ac:dyDescent="0.3">
      <c r="A674" s="152" t="s">
        <v>71</v>
      </c>
      <c r="B674" s="153" t="s">
        <v>72</v>
      </c>
      <c r="C674" s="142">
        <v>0</v>
      </c>
      <c r="D674" s="142">
        <v>0</v>
      </c>
      <c r="E674" s="142">
        <v>0</v>
      </c>
      <c r="F674" s="142">
        <v>0</v>
      </c>
      <c r="G674" s="142">
        <v>0</v>
      </c>
      <c r="H674" s="142">
        <v>0</v>
      </c>
      <c r="I674" s="154">
        <f t="shared" si="199"/>
        <v>0</v>
      </c>
      <c r="K674"/>
    </row>
    <row r="675" spans="1:11" ht="26.25" thickBot="1" x14ac:dyDescent="0.25">
      <c r="A675" s="156" t="s">
        <v>35</v>
      </c>
      <c r="B675" s="157" t="s">
        <v>73</v>
      </c>
      <c r="C675" s="158">
        <f t="shared" ref="C675:I675" si="201">SUM(C665:C674)</f>
        <v>41963</v>
      </c>
      <c r="D675" s="158">
        <f t="shared" si="201"/>
        <v>43633</v>
      </c>
      <c r="E675" s="158">
        <f t="shared" si="201"/>
        <v>43634</v>
      </c>
      <c r="F675" s="158">
        <f t="shared" si="201"/>
        <v>46142</v>
      </c>
      <c r="G675" s="158">
        <f t="shared" si="201"/>
        <v>46142</v>
      </c>
      <c r="H675" s="158">
        <f t="shared" si="201"/>
        <v>43835</v>
      </c>
      <c r="I675" s="158">
        <f t="shared" si="201"/>
        <v>-2307</v>
      </c>
    </row>
    <row r="676" spans="1:11" ht="15" customHeight="1" thickBot="1" x14ac:dyDescent="0.25">
      <c r="A676" s="152">
        <v>230</v>
      </c>
      <c r="B676" s="152" t="s">
        <v>74</v>
      </c>
      <c r="C676" s="142">
        <v>0</v>
      </c>
      <c r="D676" s="142">
        <v>0</v>
      </c>
      <c r="E676" s="142">
        <v>0</v>
      </c>
      <c r="F676" s="142">
        <v>0</v>
      </c>
      <c r="G676" s="142">
        <v>0</v>
      </c>
      <c r="H676" s="142">
        <v>0</v>
      </c>
      <c r="I676" s="154">
        <f>SUM(H676-G676)</f>
        <v>0</v>
      </c>
    </row>
    <row r="677" spans="1:11" ht="15" customHeight="1" thickBot="1" x14ac:dyDescent="0.25">
      <c r="A677" s="152">
        <v>231</v>
      </c>
      <c r="B677" s="152" t="s">
        <v>125</v>
      </c>
      <c r="C677" s="142">
        <v>495</v>
      </c>
      <c r="D677" s="159">
        <v>1000</v>
      </c>
      <c r="E677" s="159">
        <v>1000</v>
      </c>
      <c r="F677" s="142">
        <f>1000+2663</f>
        <v>3663</v>
      </c>
      <c r="G677" s="142">
        <f>1000+2663</f>
        <v>3663</v>
      </c>
      <c r="H677" s="142">
        <f>1036</f>
        <v>1036</v>
      </c>
      <c r="I677" s="154">
        <f>SUM(H677-G677)</f>
        <v>-2627</v>
      </c>
    </row>
    <row r="678" spans="1:11" ht="15" customHeight="1" thickBot="1" x14ac:dyDescent="0.25">
      <c r="A678" s="152">
        <v>232</v>
      </c>
      <c r="B678" s="152" t="s">
        <v>75</v>
      </c>
      <c r="C678" s="142">
        <v>0</v>
      </c>
      <c r="D678" s="142">
        <v>0</v>
      </c>
      <c r="E678" s="142">
        <v>0</v>
      </c>
      <c r="F678" s="142">
        <v>0</v>
      </c>
      <c r="G678" s="142">
        <v>0</v>
      </c>
      <c r="H678" s="142">
        <v>0</v>
      </c>
      <c r="I678" s="154">
        <f>SUM(H678-G678)</f>
        <v>0</v>
      </c>
    </row>
    <row r="679" spans="1:11" ht="21" customHeight="1" thickBot="1" x14ac:dyDescent="0.25">
      <c r="A679" s="156" t="s">
        <v>35</v>
      </c>
      <c r="B679" s="157" t="s">
        <v>76</v>
      </c>
      <c r="C679" s="158">
        <f t="shared" ref="C679:I679" si="202">SUM(C676:C678)</f>
        <v>495</v>
      </c>
      <c r="D679" s="158">
        <f t="shared" si="202"/>
        <v>1000</v>
      </c>
      <c r="E679" s="158">
        <f t="shared" si="202"/>
        <v>1000</v>
      </c>
      <c r="F679" s="158">
        <f t="shared" si="202"/>
        <v>3663</v>
      </c>
      <c r="G679" s="158">
        <f t="shared" si="202"/>
        <v>3663</v>
      </c>
      <c r="H679" s="158">
        <f t="shared" si="202"/>
        <v>1036</v>
      </c>
      <c r="I679" s="158">
        <f t="shared" si="202"/>
        <v>-2627</v>
      </c>
    </row>
    <row r="680" spans="1:11" ht="15" customHeight="1" thickBot="1" x14ac:dyDescent="0.25">
      <c r="A680" s="152">
        <v>230</v>
      </c>
      <c r="B680" s="152" t="s">
        <v>74</v>
      </c>
      <c r="C680" s="142">
        <v>0</v>
      </c>
      <c r="D680" s="142">
        <v>0</v>
      </c>
      <c r="E680" s="142">
        <v>0</v>
      </c>
      <c r="F680" s="142">
        <v>0</v>
      </c>
      <c r="G680" s="142">
        <v>0</v>
      </c>
      <c r="H680" s="142">
        <v>0</v>
      </c>
      <c r="I680" s="154">
        <f>SUM(H680-G680)</f>
        <v>0</v>
      </c>
    </row>
    <row r="681" spans="1:11" ht="15" customHeight="1" thickBot="1" x14ac:dyDescent="0.25">
      <c r="A681" s="152">
        <v>231</v>
      </c>
      <c r="B681" s="152" t="s">
        <v>125</v>
      </c>
      <c r="C681" s="142">
        <v>0</v>
      </c>
      <c r="D681" s="142">
        <v>0</v>
      </c>
      <c r="E681" s="142">
        <v>0</v>
      </c>
      <c r="F681" s="142">
        <v>0</v>
      </c>
      <c r="G681" s="142">
        <v>0</v>
      </c>
      <c r="H681" s="142">
        <v>0</v>
      </c>
      <c r="I681" s="154">
        <f>SUM(H681-G681)</f>
        <v>0</v>
      </c>
    </row>
    <row r="682" spans="1:11" ht="15" customHeight="1" thickBot="1" x14ac:dyDescent="0.25">
      <c r="A682" s="152">
        <v>232</v>
      </c>
      <c r="B682" s="152" t="s">
        <v>75</v>
      </c>
      <c r="C682" s="142">
        <v>0</v>
      </c>
      <c r="D682" s="142">
        <v>0</v>
      </c>
      <c r="E682" s="142">
        <v>0</v>
      </c>
      <c r="F682" s="142">
        <v>0</v>
      </c>
      <c r="G682" s="142">
        <v>0</v>
      </c>
      <c r="H682" s="142">
        <v>0</v>
      </c>
      <c r="I682" s="154">
        <f>SUM(H682-G682)</f>
        <v>0</v>
      </c>
    </row>
    <row r="683" spans="1:11" ht="20.45" customHeight="1" thickBot="1" x14ac:dyDescent="0.25">
      <c r="A683" s="156" t="s">
        <v>35</v>
      </c>
      <c r="B683" s="157" t="s">
        <v>36</v>
      </c>
      <c r="C683" s="158">
        <f t="shared" ref="C683:H683" si="203">SUM(C680:C682)</f>
        <v>0</v>
      </c>
      <c r="D683" s="158">
        <f t="shared" si="203"/>
        <v>0</v>
      </c>
      <c r="E683" s="158">
        <f t="shared" si="203"/>
        <v>0</v>
      </c>
      <c r="F683" s="158">
        <f t="shared" si="203"/>
        <v>0</v>
      </c>
      <c r="G683" s="158">
        <f t="shared" si="203"/>
        <v>0</v>
      </c>
      <c r="H683" s="158">
        <f t="shared" si="203"/>
        <v>0</v>
      </c>
      <c r="I683" s="154">
        <f>SUM(H680-G682)</f>
        <v>0</v>
      </c>
    </row>
    <row r="684" spans="1:11" ht="13.5" thickBot="1" x14ac:dyDescent="0.25">
      <c r="A684" s="156" t="s">
        <v>37</v>
      </c>
      <c r="B684" s="160" t="s">
        <v>38</v>
      </c>
      <c r="C684" s="161">
        <f>C679+C683</f>
        <v>495</v>
      </c>
      <c r="D684" s="161">
        <f t="shared" ref="D684" si="204">D679+D683</f>
        <v>1000</v>
      </c>
      <c r="E684" s="161">
        <f t="shared" ref="E684" si="205">E679+E683</f>
        <v>1000</v>
      </c>
      <c r="F684" s="161">
        <f t="shared" ref="F684" si="206">F679+F683</f>
        <v>3663</v>
      </c>
      <c r="G684" s="161">
        <f t="shared" ref="G684" si="207">G679+G683</f>
        <v>3663</v>
      </c>
      <c r="H684" s="161">
        <f t="shared" ref="H684" si="208">H679+H683</f>
        <v>1036</v>
      </c>
      <c r="I684" s="161">
        <f t="shared" ref="I684" si="209">I679+I683</f>
        <v>-2627</v>
      </c>
    </row>
    <row r="685" spans="1:11" ht="13.5" thickBot="1" x14ac:dyDescent="0.25">
      <c r="A685" s="245" t="s">
        <v>77</v>
      </c>
      <c r="B685" s="246"/>
      <c r="C685" s="162">
        <f t="shared" ref="C685:I685" si="210">C675+C679</f>
        <v>42458</v>
      </c>
      <c r="D685" s="162">
        <f t="shared" si="210"/>
        <v>44633</v>
      </c>
      <c r="E685" s="162">
        <f t="shared" si="210"/>
        <v>44634</v>
      </c>
      <c r="F685" s="162">
        <f t="shared" si="210"/>
        <v>49805</v>
      </c>
      <c r="G685" s="162">
        <f t="shared" si="210"/>
        <v>49805</v>
      </c>
      <c r="H685" s="162">
        <f t="shared" si="210"/>
        <v>44871</v>
      </c>
      <c r="I685" s="162">
        <f t="shared" si="210"/>
        <v>-4934</v>
      </c>
    </row>
    <row r="687" spans="1:11" ht="19.149999999999999" customHeight="1" x14ac:dyDescent="0.2">
      <c r="A687" s="244" t="s">
        <v>66</v>
      </c>
      <c r="B687" s="164" t="s">
        <v>20</v>
      </c>
      <c r="C687" s="165" t="s">
        <v>302</v>
      </c>
      <c r="D687" s="244" t="s">
        <v>19</v>
      </c>
      <c r="E687" s="166" t="s">
        <v>283</v>
      </c>
    </row>
    <row r="688" spans="1:11" ht="21" customHeight="1" x14ac:dyDescent="0.2">
      <c r="A688" s="244"/>
      <c r="B688" s="164" t="s">
        <v>21</v>
      </c>
      <c r="C688" s="165"/>
      <c r="D688" s="244"/>
      <c r="E688" s="166"/>
    </row>
    <row r="689" spans="1:15" ht="22.9" customHeight="1" x14ac:dyDescent="0.2">
      <c r="A689" s="244"/>
      <c r="B689" s="164" t="s">
        <v>22</v>
      </c>
      <c r="C689" s="165" t="str">
        <f>C648</f>
        <v>08.02.2022</v>
      </c>
      <c r="D689" s="244"/>
      <c r="E689" s="166" t="str">
        <f>E648</f>
        <v>08.02.2022</v>
      </c>
    </row>
    <row r="698" spans="1:15" ht="15.75" customHeight="1" thickBot="1" x14ac:dyDescent="0.25">
      <c r="A698" s="136"/>
      <c r="B698" s="137"/>
      <c r="C698" s="138"/>
      <c r="D698" s="138"/>
      <c r="E698" s="138"/>
      <c r="F698" s="138"/>
      <c r="G698" s="138"/>
      <c r="H698" s="138"/>
      <c r="I698" s="130" t="s">
        <v>68</v>
      </c>
    </row>
    <row r="699" spans="1:15" ht="24.95" customHeight="1" thickBot="1" x14ac:dyDescent="0.25">
      <c r="A699" s="139" t="s">
        <v>25</v>
      </c>
      <c r="B699" s="140" t="s">
        <v>115</v>
      </c>
      <c r="C699" s="239"/>
      <c r="D699" s="239"/>
      <c r="E699" s="239"/>
      <c r="F699" s="239"/>
      <c r="G699" s="239"/>
      <c r="H699" s="141" t="s">
        <v>26</v>
      </c>
      <c r="I699" s="142">
        <v>2137001</v>
      </c>
    </row>
    <row r="700" spans="1:15" ht="24.95" customHeight="1" thickBot="1" x14ac:dyDescent="0.25">
      <c r="A700" s="30" t="s">
        <v>28</v>
      </c>
      <c r="B700" s="143" t="s">
        <v>109</v>
      </c>
      <c r="C700" s="239"/>
      <c r="D700" s="239"/>
      <c r="E700" s="239"/>
      <c r="F700" s="239"/>
      <c r="G700" s="239"/>
      <c r="H700" s="141" t="s">
        <v>69</v>
      </c>
      <c r="I700" s="142">
        <v>9230</v>
      </c>
    </row>
    <row r="701" spans="1:15" ht="24.95" customHeight="1" thickBot="1" x14ac:dyDescent="0.25">
      <c r="A701" s="127" t="s">
        <v>30</v>
      </c>
      <c r="B701" s="240" t="s">
        <v>17</v>
      </c>
      <c r="C701" s="145">
        <v>-1</v>
      </c>
      <c r="D701" s="145">
        <v>-2</v>
      </c>
      <c r="E701" s="145">
        <v>-3</v>
      </c>
      <c r="F701" s="146">
        <v>-4</v>
      </c>
      <c r="G701" s="146">
        <v>-5</v>
      </c>
      <c r="H701" s="146">
        <v>-6</v>
      </c>
      <c r="I701" s="146" t="s">
        <v>11</v>
      </c>
    </row>
    <row r="702" spans="1:15" ht="24.95" customHeight="1" x14ac:dyDescent="0.2">
      <c r="A702" s="127"/>
      <c r="B702" s="241"/>
      <c r="C702" s="148" t="s">
        <v>12</v>
      </c>
      <c r="D702" s="148" t="s">
        <v>13</v>
      </c>
      <c r="E702" s="148" t="s">
        <v>14</v>
      </c>
      <c r="F702" s="148" t="s">
        <v>14</v>
      </c>
      <c r="G702" s="148" t="s">
        <v>14</v>
      </c>
      <c r="H702" s="148" t="s">
        <v>31</v>
      </c>
      <c r="I702" s="126" t="s">
        <v>15</v>
      </c>
    </row>
    <row r="703" spans="1:15" ht="24.95" customHeight="1" x14ac:dyDescent="0.25">
      <c r="A703" s="127"/>
      <c r="B703" s="242"/>
      <c r="C703" s="128" t="s">
        <v>292</v>
      </c>
      <c r="D703" s="128" t="s">
        <v>293</v>
      </c>
      <c r="E703" s="128" t="s">
        <v>294</v>
      </c>
      <c r="F703" s="128" t="s">
        <v>116</v>
      </c>
      <c r="G703" s="150" t="s">
        <v>32</v>
      </c>
      <c r="H703" s="128" t="s">
        <v>33</v>
      </c>
      <c r="I703" s="128"/>
      <c r="J703"/>
      <c r="K703"/>
      <c r="L703"/>
      <c r="M703"/>
      <c r="N703"/>
      <c r="O703"/>
    </row>
    <row r="704" spans="1:15" ht="24.95" customHeight="1" thickBot="1" x14ac:dyDescent="0.3">
      <c r="A704" s="30"/>
      <c r="B704" s="243"/>
      <c r="C704" s="129"/>
      <c r="D704" s="30"/>
      <c r="E704" s="30"/>
      <c r="F704" s="30"/>
      <c r="G704" s="151"/>
      <c r="H704" s="129" t="s">
        <v>34</v>
      </c>
      <c r="I704" s="129"/>
      <c r="J704"/>
      <c r="K704"/>
      <c r="L704"/>
      <c r="M704"/>
      <c r="N704"/>
      <c r="O704"/>
    </row>
    <row r="705" spans="1:15" ht="15" customHeight="1" thickBot="1" x14ac:dyDescent="0.3">
      <c r="A705" s="152">
        <v>600</v>
      </c>
      <c r="B705" s="153" t="s">
        <v>117</v>
      </c>
      <c r="C705" s="142">
        <f>5806+6986</f>
        <v>12792</v>
      </c>
      <c r="D705" s="159">
        <f>6220+7803</f>
        <v>14023</v>
      </c>
      <c r="E705" s="159">
        <f t="shared" ref="E705" si="211">6220+7803</f>
        <v>14023</v>
      </c>
      <c r="F705" s="142">
        <f>6184+7760</f>
        <v>13944</v>
      </c>
      <c r="G705" s="142">
        <f>6184+7760</f>
        <v>13944</v>
      </c>
      <c r="H705" s="142">
        <f>6153+7409</f>
        <v>13562</v>
      </c>
      <c r="I705" s="154">
        <f t="shared" ref="I705:I718" si="212">SUM(H705-G705)</f>
        <v>-382</v>
      </c>
      <c r="J705"/>
      <c r="K705"/>
      <c r="L705"/>
      <c r="M705"/>
      <c r="N705"/>
      <c r="O705"/>
    </row>
    <row r="706" spans="1:15" ht="15" customHeight="1" thickBot="1" x14ac:dyDescent="0.3">
      <c r="A706" s="152">
        <v>601</v>
      </c>
      <c r="B706" s="153" t="s">
        <v>118</v>
      </c>
      <c r="C706" s="142">
        <f>989+1161</f>
        <v>2150</v>
      </c>
      <c r="D706" s="159">
        <f>1024+1204</f>
        <v>2228</v>
      </c>
      <c r="E706" s="159">
        <f t="shared" ref="E706" si="213">1024+1204</f>
        <v>2228</v>
      </c>
      <c r="F706" s="142">
        <f>1024+1204</f>
        <v>2228</v>
      </c>
      <c r="G706" s="142">
        <f>1024+1204</f>
        <v>2228</v>
      </c>
      <c r="H706" s="142">
        <f>1024+1204</f>
        <v>2228</v>
      </c>
      <c r="I706" s="154">
        <f t="shared" si="212"/>
        <v>0</v>
      </c>
      <c r="J706"/>
      <c r="K706"/>
      <c r="L706"/>
      <c r="M706"/>
      <c r="N706"/>
      <c r="O706"/>
    </row>
    <row r="707" spans="1:15" ht="15" customHeight="1" thickBot="1" x14ac:dyDescent="0.3">
      <c r="A707" s="152">
        <v>602</v>
      </c>
      <c r="B707" s="153" t="s">
        <v>119</v>
      </c>
      <c r="C707" s="142">
        <f>1216+2794+587</f>
        <v>4597</v>
      </c>
      <c r="D707" s="159">
        <f>7814+220</f>
        <v>8034</v>
      </c>
      <c r="E707" s="159">
        <f t="shared" ref="E707" si="214">7814+220</f>
        <v>8034</v>
      </c>
      <c r="F707" s="142">
        <f>822+7814+251</f>
        <v>8887</v>
      </c>
      <c r="G707" s="142">
        <f>822+7814+251</f>
        <v>8887</v>
      </c>
      <c r="H707" s="142">
        <f>718+3664+80</f>
        <v>4462</v>
      </c>
      <c r="I707" s="154">
        <f t="shared" si="212"/>
        <v>-4425</v>
      </c>
      <c r="J707"/>
      <c r="K707"/>
      <c r="L707"/>
      <c r="M707"/>
      <c r="N707"/>
      <c r="O707"/>
    </row>
    <row r="708" spans="1:15" ht="15" customHeight="1" thickBot="1" x14ac:dyDescent="0.3">
      <c r="A708" s="152">
        <v>603</v>
      </c>
      <c r="B708" s="153" t="s">
        <v>120</v>
      </c>
      <c r="C708" s="142">
        <v>0</v>
      </c>
      <c r="D708" s="142"/>
      <c r="E708" s="142"/>
      <c r="F708" s="142"/>
      <c r="G708" s="142"/>
      <c r="H708" s="142"/>
      <c r="I708" s="154">
        <f t="shared" si="212"/>
        <v>0</v>
      </c>
      <c r="J708"/>
      <c r="K708"/>
      <c r="L708"/>
      <c r="M708"/>
      <c r="N708"/>
      <c r="O708"/>
    </row>
    <row r="709" spans="1:15" ht="15" customHeight="1" thickBot="1" x14ac:dyDescent="0.3">
      <c r="A709" s="152">
        <v>604</v>
      </c>
      <c r="B709" s="153" t="s">
        <v>121</v>
      </c>
      <c r="C709" s="142">
        <v>0</v>
      </c>
      <c r="D709" s="142"/>
      <c r="E709" s="142"/>
      <c r="F709" s="142"/>
      <c r="G709" s="142"/>
      <c r="H709" s="142"/>
      <c r="I709" s="154">
        <f t="shared" si="212"/>
        <v>0</v>
      </c>
      <c r="J709"/>
      <c r="K709"/>
      <c r="L709"/>
      <c r="M709"/>
      <c r="N709"/>
      <c r="O709"/>
    </row>
    <row r="710" spans="1:15" ht="15" customHeight="1" thickBot="1" x14ac:dyDescent="0.3">
      <c r="A710" s="152">
        <v>605</v>
      </c>
      <c r="B710" s="153" t="s">
        <v>122</v>
      </c>
      <c r="C710" s="142">
        <v>0</v>
      </c>
      <c r="D710" s="142">
        <v>0</v>
      </c>
      <c r="E710" s="142">
        <v>0</v>
      </c>
      <c r="F710" s="142">
        <v>0</v>
      </c>
      <c r="G710" s="142">
        <v>0</v>
      </c>
      <c r="H710" s="142">
        <v>0</v>
      </c>
      <c r="I710" s="154">
        <f t="shared" si="212"/>
        <v>0</v>
      </c>
      <c r="J710"/>
      <c r="K710"/>
      <c r="L710"/>
      <c r="M710"/>
      <c r="N710"/>
      <c r="O710"/>
    </row>
    <row r="711" spans="1:15" ht="15" customHeight="1" thickBot="1" x14ac:dyDescent="0.3">
      <c r="A711" s="152">
        <v>606</v>
      </c>
      <c r="B711" s="153" t="s">
        <v>70</v>
      </c>
      <c r="C711" s="142">
        <v>0</v>
      </c>
      <c r="D711" s="142">
        <v>0</v>
      </c>
      <c r="E711" s="142">
        <v>0</v>
      </c>
      <c r="F711" s="142">
        <f>36+43</f>
        <v>79</v>
      </c>
      <c r="G711" s="142">
        <f>36+43</f>
        <v>79</v>
      </c>
      <c r="H711" s="142">
        <f>36+43</f>
        <v>79</v>
      </c>
      <c r="I711" s="154">
        <f t="shared" si="212"/>
        <v>0</v>
      </c>
      <c r="J711"/>
      <c r="K711"/>
      <c r="L711"/>
      <c r="M711"/>
      <c r="N711"/>
      <c r="O711"/>
    </row>
    <row r="712" spans="1:15" ht="15" customHeight="1" thickBot="1" x14ac:dyDescent="0.3">
      <c r="A712" s="152">
        <v>609</v>
      </c>
      <c r="B712" s="153" t="s">
        <v>123</v>
      </c>
      <c r="C712" s="142">
        <v>0</v>
      </c>
      <c r="D712" s="142">
        <v>0</v>
      </c>
      <c r="E712" s="142">
        <v>0</v>
      </c>
      <c r="F712" s="142">
        <v>0</v>
      </c>
      <c r="G712" s="142">
        <v>0</v>
      </c>
      <c r="H712" s="142">
        <v>0</v>
      </c>
      <c r="I712" s="154">
        <f t="shared" si="212"/>
        <v>0</v>
      </c>
      <c r="J712"/>
      <c r="K712"/>
      <c r="L712"/>
      <c r="M712"/>
      <c r="N712"/>
      <c r="O712"/>
    </row>
    <row r="713" spans="1:15" ht="15" customHeight="1" thickBot="1" x14ac:dyDescent="0.25">
      <c r="A713" s="152">
        <v>650</v>
      </c>
      <c r="B713" s="153" t="s">
        <v>124</v>
      </c>
      <c r="C713" s="142">
        <v>0</v>
      </c>
      <c r="D713" s="142">
        <v>0</v>
      </c>
      <c r="E713" s="142">
        <v>0</v>
      </c>
      <c r="F713" s="142">
        <v>0</v>
      </c>
      <c r="G713" s="142">
        <v>0</v>
      </c>
      <c r="H713" s="142">
        <v>0</v>
      </c>
      <c r="I713" s="154">
        <f t="shared" si="212"/>
        <v>0</v>
      </c>
    </row>
    <row r="714" spans="1:15" ht="15" customHeight="1" thickBot="1" x14ac:dyDescent="0.25">
      <c r="A714" s="152" t="s">
        <v>71</v>
      </c>
      <c r="B714" s="153" t="s">
        <v>72</v>
      </c>
      <c r="C714" s="142">
        <v>0</v>
      </c>
      <c r="D714" s="142">
        <v>0</v>
      </c>
      <c r="E714" s="142">
        <v>0</v>
      </c>
      <c r="F714" s="142">
        <v>0</v>
      </c>
      <c r="G714" s="142">
        <v>0</v>
      </c>
      <c r="H714" s="142">
        <v>0</v>
      </c>
      <c r="I714" s="154">
        <f t="shared" si="212"/>
        <v>0</v>
      </c>
    </row>
    <row r="715" spans="1:15" ht="26.25" thickBot="1" x14ac:dyDescent="0.25">
      <c r="A715" s="156" t="s">
        <v>35</v>
      </c>
      <c r="B715" s="157" t="s">
        <v>73</v>
      </c>
      <c r="C715" s="158">
        <f t="shared" ref="C715:H715" si="215">SUM(C705:C714)</f>
        <v>19539</v>
      </c>
      <c r="D715" s="158">
        <f t="shared" si="215"/>
        <v>24285</v>
      </c>
      <c r="E715" s="158">
        <f t="shared" si="215"/>
        <v>24285</v>
      </c>
      <c r="F715" s="158">
        <f t="shared" si="215"/>
        <v>25138</v>
      </c>
      <c r="G715" s="158">
        <f t="shared" si="215"/>
        <v>25138</v>
      </c>
      <c r="H715" s="158">
        <f t="shared" si="215"/>
        <v>20331</v>
      </c>
      <c r="I715" s="154">
        <f t="shared" si="212"/>
        <v>-4807</v>
      </c>
    </row>
    <row r="716" spans="1:15" ht="15" customHeight="1" thickBot="1" x14ac:dyDescent="0.25">
      <c r="A716" s="152">
        <v>230</v>
      </c>
      <c r="B716" s="152" t="s">
        <v>74</v>
      </c>
      <c r="C716" s="142">
        <v>0</v>
      </c>
      <c r="D716" s="142">
        <v>0</v>
      </c>
      <c r="E716" s="142">
        <v>0</v>
      </c>
      <c r="F716" s="142">
        <v>0</v>
      </c>
      <c r="G716" s="142">
        <v>0</v>
      </c>
      <c r="H716" s="142">
        <v>0</v>
      </c>
      <c r="I716" s="154">
        <f t="shared" si="212"/>
        <v>0</v>
      </c>
    </row>
    <row r="717" spans="1:15" ht="15" customHeight="1" thickBot="1" x14ac:dyDescent="0.25">
      <c r="A717" s="152">
        <v>231</v>
      </c>
      <c r="B717" s="152" t="s">
        <v>125</v>
      </c>
      <c r="C717" s="142">
        <f>381</f>
        <v>381</v>
      </c>
      <c r="D717" s="159">
        <v>500</v>
      </c>
      <c r="E717" s="159">
        <v>500</v>
      </c>
      <c r="F717" s="142">
        <f>500</f>
        <v>500</v>
      </c>
      <c r="G717" s="142">
        <v>500</v>
      </c>
      <c r="H717" s="142">
        <v>119</v>
      </c>
      <c r="I717" s="154">
        <f t="shared" si="212"/>
        <v>-381</v>
      </c>
    </row>
    <row r="718" spans="1:15" ht="15" customHeight="1" thickBot="1" x14ac:dyDescent="0.25">
      <c r="A718" s="152">
        <v>232</v>
      </c>
      <c r="B718" s="152" t="s">
        <v>75</v>
      </c>
      <c r="C718" s="142">
        <v>0</v>
      </c>
      <c r="D718" s="142">
        <v>0</v>
      </c>
      <c r="E718" s="142">
        <v>0</v>
      </c>
      <c r="F718" s="142">
        <v>0</v>
      </c>
      <c r="G718" s="142">
        <v>0</v>
      </c>
      <c r="H718" s="142">
        <v>0</v>
      </c>
      <c r="I718" s="154">
        <f t="shared" si="212"/>
        <v>0</v>
      </c>
    </row>
    <row r="719" spans="1:15" ht="21" customHeight="1" thickBot="1" x14ac:dyDescent="0.25">
      <c r="A719" s="156" t="s">
        <v>35</v>
      </c>
      <c r="B719" s="157" t="s">
        <v>76</v>
      </c>
      <c r="C719" s="158">
        <f t="shared" ref="C719:H719" si="216">SUM(C716:C718)</f>
        <v>381</v>
      </c>
      <c r="D719" s="158">
        <f t="shared" si="216"/>
        <v>500</v>
      </c>
      <c r="E719" s="158">
        <f t="shared" si="216"/>
        <v>500</v>
      </c>
      <c r="F719" s="158">
        <f t="shared" si="216"/>
        <v>500</v>
      </c>
      <c r="G719" s="158">
        <f t="shared" si="216"/>
        <v>500</v>
      </c>
      <c r="H719" s="158">
        <f t="shared" si="216"/>
        <v>119</v>
      </c>
      <c r="I719" s="154">
        <f>SUM(H716-G718)</f>
        <v>0</v>
      </c>
    </row>
    <row r="720" spans="1:15" ht="15" customHeight="1" thickBot="1" x14ac:dyDescent="0.25">
      <c r="A720" s="152">
        <v>230</v>
      </c>
      <c r="B720" s="152" t="s">
        <v>74</v>
      </c>
      <c r="C720" s="142">
        <v>0</v>
      </c>
      <c r="D720" s="142">
        <v>0</v>
      </c>
      <c r="E720" s="142">
        <v>0</v>
      </c>
      <c r="F720" s="142">
        <v>0</v>
      </c>
      <c r="G720" s="142">
        <v>0</v>
      </c>
      <c r="H720" s="142">
        <v>0</v>
      </c>
      <c r="I720" s="154">
        <f>SUM(H720-G720)</f>
        <v>0</v>
      </c>
    </row>
    <row r="721" spans="1:9" ht="15" customHeight="1" thickBot="1" x14ac:dyDescent="0.25">
      <c r="A721" s="152">
        <v>231</v>
      </c>
      <c r="B721" s="152" t="s">
        <v>125</v>
      </c>
      <c r="C721" s="142">
        <v>0</v>
      </c>
      <c r="D721" s="142">
        <v>0</v>
      </c>
      <c r="E721" s="142">
        <v>0</v>
      </c>
      <c r="F721" s="142">
        <v>0</v>
      </c>
      <c r="G721" s="142">
        <v>0</v>
      </c>
      <c r="H721" s="142">
        <v>0</v>
      </c>
      <c r="I721" s="154">
        <f>SUM(H721-G721)</f>
        <v>0</v>
      </c>
    </row>
    <row r="722" spans="1:9" ht="15" customHeight="1" thickBot="1" x14ac:dyDescent="0.25">
      <c r="A722" s="152">
        <v>232</v>
      </c>
      <c r="B722" s="152" t="s">
        <v>75</v>
      </c>
      <c r="C722" s="142">
        <v>0</v>
      </c>
      <c r="D722" s="142">
        <v>0</v>
      </c>
      <c r="E722" s="142">
        <v>0</v>
      </c>
      <c r="F722" s="142">
        <v>0</v>
      </c>
      <c r="G722" s="142">
        <v>0</v>
      </c>
      <c r="H722" s="142">
        <v>0</v>
      </c>
      <c r="I722" s="154">
        <f>SUM(H722-G722)</f>
        <v>0</v>
      </c>
    </row>
    <row r="723" spans="1:9" ht="20.45" customHeight="1" thickBot="1" x14ac:dyDescent="0.25">
      <c r="A723" s="156" t="s">
        <v>35</v>
      </c>
      <c r="B723" s="157" t="s">
        <v>36</v>
      </c>
      <c r="C723" s="158">
        <f t="shared" ref="C723:H723" si="217">SUM(C720:C722)</f>
        <v>0</v>
      </c>
      <c r="D723" s="158">
        <f t="shared" si="217"/>
        <v>0</v>
      </c>
      <c r="E723" s="158">
        <f t="shared" si="217"/>
        <v>0</v>
      </c>
      <c r="F723" s="158">
        <f t="shared" si="217"/>
        <v>0</v>
      </c>
      <c r="G723" s="158">
        <f t="shared" si="217"/>
        <v>0</v>
      </c>
      <c r="H723" s="158">
        <f t="shared" si="217"/>
        <v>0</v>
      </c>
      <c r="I723" s="154">
        <f>SUM(H720-G722)</f>
        <v>0</v>
      </c>
    </row>
    <row r="724" spans="1:9" ht="13.5" thickBot="1" x14ac:dyDescent="0.25">
      <c r="A724" s="156" t="s">
        <v>37</v>
      </c>
      <c r="B724" s="160" t="s">
        <v>38</v>
      </c>
      <c r="C724" s="161">
        <f>C719+C723</f>
        <v>381</v>
      </c>
      <c r="D724" s="161">
        <f t="shared" ref="D724" si="218">D719+D723</f>
        <v>500</v>
      </c>
      <c r="E724" s="161">
        <f t="shared" ref="E724" si="219">E719+E723</f>
        <v>500</v>
      </c>
      <c r="F724" s="161">
        <f t="shared" ref="F724" si="220">F719+F723</f>
        <v>500</v>
      </c>
      <c r="G724" s="161">
        <f t="shared" ref="G724" si="221">G719+G723</f>
        <v>500</v>
      </c>
      <c r="H724" s="161">
        <f t="shared" ref="H724" si="222">H719+H723</f>
        <v>119</v>
      </c>
      <c r="I724" s="154">
        <f>SUM(H724-G724)</f>
        <v>-381</v>
      </c>
    </row>
    <row r="725" spans="1:9" ht="13.5" thickBot="1" x14ac:dyDescent="0.25">
      <c r="A725" s="245" t="s">
        <v>77</v>
      </c>
      <c r="B725" s="246"/>
      <c r="C725" s="162">
        <f t="shared" ref="C725:H725" si="223">C715+C719</f>
        <v>19920</v>
      </c>
      <c r="D725" s="162">
        <f t="shared" si="223"/>
        <v>24785</v>
      </c>
      <c r="E725" s="162">
        <f t="shared" si="223"/>
        <v>24785</v>
      </c>
      <c r="F725" s="162">
        <f t="shared" si="223"/>
        <v>25638</v>
      </c>
      <c r="G725" s="162">
        <f t="shared" si="223"/>
        <v>25638</v>
      </c>
      <c r="H725" s="162">
        <f t="shared" si="223"/>
        <v>20450</v>
      </c>
      <c r="I725" s="163">
        <f>SUM(H725-G725)</f>
        <v>-5188</v>
      </c>
    </row>
    <row r="727" spans="1:9" ht="19.149999999999999" customHeight="1" x14ac:dyDescent="0.2">
      <c r="A727" s="244" t="s">
        <v>66</v>
      </c>
      <c r="B727" s="164" t="s">
        <v>20</v>
      </c>
      <c r="C727" s="165" t="s">
        <v>302</v>
      </c>
      <c r="D727" s="244" t="s">
        <v>19</v>
      </c>
      <c r="E727" s="166" t="s">
        <v>283</v>
      </c>
    </row>
    <row r="728" spans="1:9" ht="21" customHeight="1" x14ac:dyDescent="0.2">
      <c r="A728" s="244"/>
      <c r="B728" s="164" t="s">
        <v>21</v>
      </c>
      <c r="C728" s="165"/>
      <c r="D728" s="244"/>
      <c r="E728" s="166"/>
    </row>
    <row r="729" spans="1:9" ht="22.9" customHeight="1" x14ac:dyDescent="0.2">
      <c r="A729" s="244"/>
      <c r="B729" s="164" t="s">
        <v>22</v>
      </c>
      <c r="C729" s="165" t="str">
        <f>C689</f>
        <v>08.02.2022</v>
      </c>
      <c r="D729" s="244"/>
      <c r="E729" s="166" t="str">
        <f>E689</f>
        <v>08.02.2022</v>
      </c>
    </row>
    <row r="739" spans="1:11" ht="15.75" customHeight="1" thickBot="1" x14ac:dyDescent="0.25">
      <c r="A739" s="136"/>
      <c r="B739" s="137"/>
      <c r="C739" s="138"/>
      <c r="D739" s="138"/>
      <c r="E739" s="138"/>
      <c r="F739" s="138"/>
      <c r="G739" s="138"/>
      <c r="H739" s="138"/>
      <c r="I739" s="130" t="s">
        <v>68</v>
      </c>
    </row>
    <row r="740" spans="1:11" ht="24.95" customHeight="1" thickBot="1" x14ac:dyDescent="0.25">
      <c r="A740" s="139" t="s">
        <v>25</v>
      </c>
      <c r="B740" s="140" t="s">
        <v>115</v>
      </c>
      <c r="C740" s="239"/>
      <c r="D740" s="239"/>
      <c r="E740" s="239"/>
      <c r="F740" s="239"/>
      <c r="G740" s="239"/>
      <c r="H740" s="141" t="s">
        <v>26</v>
      </c>
      <c r="I740" s="142">
        <v>2137001</v>
      </c>
    </row>
    <row r="741" spans="1:11" ht="24.95" customHeight="1" thickBot="1" x14ac:dyDescent="0.25">
      <c r="A741" s="30" t="s">
        <v>28</v>
      </c>
      <c r="B741" s="143" t="s">
        <v>67</v>
      </c>
      <c r="C741" s="239"/>
      <c r="D741" s="239"/>
      <c r="E741" s="239"/>
      <c r="F741" s="239"/>
      <c r="G741" s="239"/>
      <c r="H741" s="141" t="s">
        <v>69</v>
      </c>
      <c r="I741" s="142">
        <v>10140</v>
      </c>
    </row>
    <row r="742" spans="1:11" ht="24.95" customHeight="1" thickBot="1" x14ac:dyDescent="0.25">
      <c r="A742" s="127" t="s">
        <v>30</v>
      </c>
      <c r="B742" s="240" t="s">
        <v>17</v>
      </c>
      <c r="C742" s="145">
        <v>-1</v>
      </c>
      <c r="D742" s="145">
        <v>-2</v>
      </c>
      <c r="E742" s="145">
        <v>-3</v>
      </c>
      <c r="F742" s="146">
        <v>-4</v>
      </c>
      <c r="G742" s="146">
        <v>-5</v>
      </c>
      <c r="H742" s="146">
        <v>-6</v>
      </c>
      <c r="I742" s="146" t="s">
        <v>11</v>
      </c>
    </row>
    <row r="743" spans="1:11" ht="24.95" customHeight="1" x14ac:dyDescent="0.2">
      <c r="A743" s="127"/>
      <c r="B743" s="241"/>
      <c r="C743" s="148" t="s">
        <v>12</v>
      </c>
      <c r="D743" s="148" t="s">
        <v>13</v>
      </c>
      <c r="E743" s="148" t="s">
        <v>14</v>
      </c>
      <c r="F743" s="148" t="s">
        <v>14</v>
      </c>
      <c r="G743" s="148" t="s">
        <v>14</v>
      </c>
      <c r="H743" s="148" t="s">
        <v>31</v>
      </c>
      <c r="I743" s="126" t="s">
        <v>15</v>
      </c>
    </row>
    <row r="744" spans="1:11" ht="24.95" customHeight="1" x14ac:dyDescent="0.2">
      <c r="A744" s="127"/>
      <c r="B744" s="242"/>
      <c r="C744" s="128" t="s">
        <v>292</v>
      </c>
      <c r="D744" s="128" t="s">
        <v>293</v>
      </c>
      <c r="E744" s="128" t="s">
        <v>294</v>
      </c>
      <c r="F744" s="128" t="s">
        <v>116</v>
      </c>
      <c r="G744" s="150" t="s">
        <v>32</v>
      </c>
      <c r="H744" s="128" t="s">
        <v>33</v>
      </c>
      <c r="I744" s="128"/>
    </row>
    <row r="745" spans="1:11" ht="24.95" customHeight="1" thickBot="1" x14ac:dyDescent="0.25">
      <c r="A745" s="30"/>
      <c r="B745" s="243"/>
      <c r="C745" s="129"/>
      <c r="D745" s="30"/>
      <c r="E745" s="30"/>
      <c r="F745" s="30"/>
      <c r="G745" s="151"/>
      <c r="H745" s="129" t="s">
        <v>34</v>
      </c>
      <c r="I745" s="129"/>
    </row>
    <row r="746" spans="1:11" ht="15" customHeight="1" thickBot="1" x14ac:dyDescent="0.25">
      <c r="A746" s="152">
        <v>600</v>
      </c>
      <c r="B746" s="153" t="s">
        <v>117</v>
      </c>
      <c r="C746" s="142">
        <v>0</v>
      </c>
      <c r="D746" s="142">
        <v>0</v>
      </c>
      <c r="E746" s="142">
        <v>0</v>
      </c>
      <c r="F746" s="142">
        <v>0</v>
      </c>
      <c r="G746" s="142">
        <v>0</v>
      </c>
      <c r="H746" s="142">
        <v>0</v>
      </c>
      <c r="I746" s="154">
        <f t="shared" ref="I746:I759" si="224">SUM(H746-G746)</f>
        <v>0</v>
      </c>
    </row>
    <row r="747" spans="1:11" ht="15" customHeight="1" thickBot="1" x14ac:dyDescent="0.25">
      <c r="A747" s="152">
        <v>601</v>
      </c>
      <c r="B747" s="153" t="s">
        <v>118</v>
      </c>
      <c r="C747" s="142">
        <v>0</v>
      </c>
      <c r="D747" s="142">
        <v>0</v>
      </c>
      <c r="E747" s="142">
        <v>0</v>
      </c>
      <c r="F747" s="142">
        <v>0</v>
      </c>
      <c r="G747" s="142">
        <v>0</v>
      </c>
      <c r="H747" s="142">
        <v>0</v>
      </c>
      <c r="I747" s="154">
        <f t="shared" si="224"/>
        <v>0</v>
      </c>
    </row>
    <row r="748" spans="1:11" ht="15" customHeight="1" thickBot="1" x14ac:dyDescent="0.25">
      <c r="A748" s="152">
        <v>602</v>
      </c>
      <c r="B748" s="153" t="s">
        <v>119</v>
      </c>
      <c r="C748" s="142">
        <v>0</v>
      </c>
      <c r="D748" s="142">
        <v>0</v>
      </c>
      <c r="E748" s="142">
        <v>0</v>
      </c>
      <c r="F748" s="142">
        <v>0</v>
      </c>
      <c r="G748" s="142">
        <v>0</v>
      </c>
      <c r="H748" s="142">
        <v>0</v>
      </c>
      <c r="I748" s="154">
        <f t="shared" si="224"/>
        <v>0</v>
      </c>
    </row>
    <row r="749" spans="1:11" ht="15" customHeight="1" thickBot="1" x14ac:dyDescent="0.25">
      <c r="A749" s="152">
        <v>603</v>
      </c>
      <c r="B749" s="153" t="s">
        <v>120</v>
      </c>
      <c r="C749" s="142">
        <v>0</v>
      </c>
      <c r="D749" s="142">
        <v>0</v>
      </c>
      <c r="E749" s="142">
        <v>0</v>
      </c>
      <c r="F749" s="142">
        <v>0</v>
      </c>
      <c r="G749" s="142">
        <v>0</v>
      </c>
      <c r="H749" s="142">
        <v>0</v>
      </c>
      <c r="I749" s="154">
        <f t="shared" si="224"/>
        <v>0</v>
      </c>
    </row>
    <row r="750" spans="1:11" ht="15" customHeight="1" thickBot="1" x14ac:dyDescent="0.25">
      <c r="A750" s="152">
        <v>604</v>
      </c>
      <c r="B750" s="153" t="s">
        <v>121</v>
      </c>
      <c r="C750" s="142">
        <v>0</v>
      </c>
      <c r="D750" s="142">
        <v>0</v>
      </c>
      <c r="E750" s="142">
        <v>0</v>
      </c>
      <c r="F750" s="142">
        <v>0</v>
      </c>
      <c r="G750" s="142">
        <v>0</v>
      </c>
      <c r="H750" s="142">
        <v>0</v>
      </c>
      <c r="I750" s="154">
        <f t="shared" si="224"/>
        <v>0</v>
      </c>
    </row>
    <row r="751" spans="1:11" ht="15" customHeight="1" thickBot="1" x14ac:dyDescent="0.25">
      <c r="A751" s="152">
        <v>605</v>
      </c>
      <c r="B751" s="153" t="s">
        <v>122</v>
      </c>
      <c r="C751" s="142">
        <v>0</v>
      </c>
      <c r="D751" s="142">
        <v>0</v>
      </c>
      <c r="E751" s="142">
        <v>0</v>
      </c>
      <c r="F751" s="142">
        <v>0</v>
      </c>
      <c r="G751" s="142">
        <v>0</v>
      </c>
      <c r="H751" s="142">
        <v>0</v>
      </c>
      <c r="I751" s="154">
        <f t="shared" si="224"/>
        <v>0</v>
      </c>
    </row>
    <row r="752" spans="1:11" ht="15" customHeight="1" thickBot="1" x14ac:dyDescent="0.3">
      <c r="A752" s="152">
        <v>606</v>
      </c>
      <c r="B752" s="153" t="s">
        <v>70</v>
      </c>
      <c r="C752" s="142">
        <v>76823</v>
      </c>
      <c r="D752" s="159">
        <v>71685</v>
      </c>
      <c r="E752" s="159">
        <v>71685</v>
      </c>
      <c r="F752" s="142">
        <v>71147</v>
      </c>
      <c r="G752" s="142">
        <v>71147</v>
      </c>
      <c r="H752" s="142">
        <v>70656</v>
      </c>
      <c r="I752" s="154">
        <f t="shared" si="224"/>
        <v>-491</v>
      </c>
      <c r="K752"/>
    </row>
    <row r="753" spans="1:9" ht="15" customHeight="1" thickBot="1" x14ac:dyDescent="0.25">
      <c r="A753" s="152">
        <v>609</v>
      </c>
      <c r="B753" s="153" t="s">
        <v>123</v>
      </c>
      <c r="C753" s="142">
        <v>0</v>
      </c>
      <c r="D753" s="142">
        <v>0</v>
      </c>
      <c r="E753" s="142">
        <v>0</v>
      </c>
      <c r="F753" s="142">
        <v>0</v>
      </c>
      <c r="G753" s="142">
        <v>0</v>
      </c>
      <c r="H753" s="142">
        <v>0</v>
      </c>
      <c r="I753" s="154">
        <f t="shared" si="224"/>
        <v>0</v>
      </c>
    </row>
    <row r="754" spans="1:9" ht="15" customHeight="1" thickBot="1" x14ac:dyDescent="0.25">
      <c r="A754" s="152">
        <v>650</v>
      </c>
      <c r="B754" s="153" t="s">
        <v>124</v>
      </c>
      <c r="C754" s="142">
        <v>0</v>
      </c>
      <c r="D754" s="142">
        <v>0</v>
      </c>
      <c r="E754" s="142">
        <v>0</v>
      </c>
      <c r="F754" s="142">
        <v>0</v>
      </c>
      <c r="G754" s="142">
        <v>0</v>
      </c>
      <c r="H754" s="142">
        <v>0</v>
      </c>
      <c r="I754" s="154">
        <f t="shared" si="224"/>
        <v>0</v>
      </c>
    </row>
    <row r="755" spans="1:9" ht="15" customHeight="1" thickBot="1" x14ac:dyDescent="0.25">
      <c r="A755" s="152" t="s">
        <v>71</v>
      </c>
      <c r="B755" s="153" t="s">
        <v>72</v>
      </c>
      <c r="C755" s="142">
        <v>0</v>
      </c>
      <c r="D755" s="142">
        <v>0</v>
      </c>
      <c r="E755" s="142">
        <v>0</v>
      </c>
      <c r="F755" s="142">
        <v>0</v>
      </c>
      <c r="G755" s="142">
        <v>0</v>
      </c>
      <c r="H755" s="142">
        <v>0</v>
      </c>
      <c r="I755" s="154">
        <f t="shared" si="224"/>
        <v>0</v>
      </c>
    </row>
    <row r="756" spans="1:9" ht="26.25" thickBot="1" x14ac:dyDescent="0.25">
      <c r="A756" s="156" t="s">
        <v>35</v>
      </c>
      <c r="B756" s="157" t="s">
        <v>73</v>
      </c>
      <c r="C756" s="158">
        <f>SUM(C746:C755)</f>
        <v>76823</v>
      </c>
      <c r="D756" s="158">
        <f t="shared" ref="D756" si="225">SUM(D746:D755)</f>
        <v>71685</v>
      </c>
      <c r="E756" s="158">
        <f t="shared" ref="E756" si="226">SUM(E746:E755)</f>
        <v>71685</v>
      </c>
      <c r="F756" s="158">
        <f t="shared" ref="F756" si="227">SUM(F746:F755)</f>
        <v>71147</v>
      </c>
      <c r="G756" s="158">
        <f t="shared" ref="G756" si="228">SUM(G746:G755)</f>
        <v>71147</v>
      </c>
      <c r="H756" s="158">
        <f t="shared" ref="H756" si="229">SUM(H746:H755)</f>
        <v>70656</v>
      </c>
      <c r="I756" s="154">
        <f t="shared" si="224"/>
        <v>-491</v>
      </c>
    </row>
    <row r="757" spans="1:9" ht="15" customHeight="1" thickBot="1" x14ac:dyDescent="0.25">
      <c r="A757" s="152">
        <v>230</v>
      </c>
      <c r="B757" s="152" t="s">
        <v>74</v>
      </c>
      <c r="C757" s="142">
        <v>0</v>
      </c>
      <c r="D757" s="142">
        <v>0</v>
      </c>
      <c r="E757" s="142">
        <v>0</v>
      </c>
      <c r="F757" s="142">
        <v>0</v>
      </c>
      <c r="G757" s="142">
        <v>0</v>
      </c>
      <c r="H757" s="142">
        <v>0</v>
      </c>
      <c r="I757" s="154">
        <f t="shared" si="224"/>
        <v>0</v>
      </c>
    </row>
    <row r="758" spans="1:9" ht="15" customHeight="1" thickBot="1" x14ac:dyDescent="0.25">
      <c r="A758" s="152">
        <v>231</v>
      </c>
      <c r="B758" s="152" t="s">
        <v>125</v>
      </c>
      <c r="C758" s="142">
        <v>0</v>
      </c>
      <c r="D758" s="142">
        <v>0</v>
      </c>
      <c r="E758" s="142">
        <v>0</v>
      </c>
      <c r="F758" s="142">
        <v>0</v>
      </c>
      <c r="G758" s="142">
        <v>0</v>
      </c>
      <c r="H758" s="142">
        <v>0</v>
      </c>
      <c r="I758" s="154">
        <f t="shared" si="224"/>
        <v>0</v>
      </c>
    </row>
    <row r="759" spans="1:9" ht="15" customHeight="1" thickBot="1" x14ac:dyDescent="0.25">
      <c r="A759" s="152">
        <v>232</v>
      </c>
      <c r="B759" s="152" t="s">
        <v>75</v>
      </c>
      <c r="C759" s="142">
        <v>0</v>
      </c>
      <c r="D759" s="142">
        <v>0</v>
      </c>
      <c r="E759" s="142">
        <v>0</v>
      </c>
      <c r="F759" s="142">
        <v>0</v>
      </c>
      <c r="G759" s="142">
        <v>0</v>
      </c>
      <c r="H759" s="142">
        <v>0</v>
      </c>
      <c r="I759" s="154">
        <f t="shared" si="224"/>
        <v>0</v>
      </c>
    </row>
    <row r="760" spans="1:9" ht="21" customHeight="1" thickBot="1" x14ac:dyDescent="0.25">
      <c r="A760" s="156" t="s">
        <v>35</v>
      </c>
      <c r="B760" s="157" t="s">
        <v>76</v>
      </c>
      <c r="C760" s="158">
        <f t="shared" ref="C760:H760" si="230">SUM(C757:C759)</f>
        <v>0</v>
      </c>
      <c r="D760" s="158">
        <f t="shared" si="230"/>
        <v>0</v>
      </c>
      <c r="E760" s="158">
        <f t="shared" si="230"/>
        <v>0</v>
      </c>
      <c r="F760" s="158">
        <f t="shared" si="230"/>
        <v>0</v>
      </c>
      <c r="G760" s="158">
        <f t="shared" si="230"/>
        <v>0</v>
      </c>
      <c r="H760" s="158">
        <f t="shared" si="230"/>
        <v>0</v>
      </c>
      <c r="I760" s="154">
        <f>SUM(H757-G759)</f>
        <v>0</v>
      </c>
    </row>
    <row r="761" spans="1:9" ht="15" customHeight="1" thickBot="1" x14ac:dyDescent="0.25">
      <c r="A761" s="152">
        <v>230</v>
      </c>
      <c r="B761" s="152" t="s">
        <v>74</v>
      </c>
      <c r="C761" s="142">
        <v>0</v>
      </c>
      <c r="D761" s="142">
        <v>0</v>
      </c>
      <c r="E761" s="142">
        <v>0</v>
      </c>
      <c r="F761" s="142">
        <v>0</v>
      </c>
      <c r="G761" s="142">
        <v>0</v>
      </c>
      <c r="H761" s="142">
        <v>0</v>
      </c>
      <c r="I761" s="154">
        <f>SUM(H761-G761)</f>
        <v>0</v>
      </c>
    </row>
    <row r="762" spans="1:9" ht="15" customHeight="1" thickBot="1" x14ac:dyDescent="0.25">
      <c r="A762" s="152">
        <v>231</v>
      </c>
      <c r="B762" s="152" t="s">
        <v>125</v>
      </c>
      <c r="C762" s="142">
        <v>0</v>
      </c>
      <c r="D762" s="142">
        <v>0</v>
      </c>
      <c r="E762" s="142">
        <v>0</v>
      </c>
      <c r="F762" s="142">
        <v>0</v>
      </c>
      <c r="G762" s="142">
        <v>0</v>
      </c>
      <c r="H762" s="142">
        <v>0</v>
      </c>
      <c r="I762" s="154">
        <f>SUM(H762-G762)</f>
        <v>0</v>
      </c>
    </row>
    <row r="763" spans="1:9" ht="15" customHeight="1" thickBot="1" x14ac:dyDescent="0.25">
      <c r="A763" s="152">
        <v>232</v>
      </c>
      <c r="B763" s="152" t="s">
        <v>75</v>
      </c>
      <c r="C763" s="142">
        <v>0</v>
      </c>
      <c r="D763" s="142">
        <v>0</v>
      </c>
      <c r="E763" s="142">
        <v>0</v>
      </c>
      <c r="F763" s="142">
        <v>0</v>
      </c>
      <c r="G763" s="142">
        <v>0</v>
      </c>
      <c r="H763" s="142">
        <v>0</v>
      </c>
      <c r="I763" s="154">
        <f>SUM(H763-G763)</f>
        <v>0</v>
      </c>
    </row>
    <row r="764" spans="1:9" ht="20.45" customHeight="1" thickBot="1" x14ac:dyDescent="0.25">
      <c r="A764" s="156" t="s">
        <v>35</v>
      </c>
      <c r="B764" s="157" t="s">
        <v>36</v>
      </c>
      <c r="C764" s="158">
        <f t="shared" ref="C764:H764" si="231">SUM(C761:C763)</f>
        <v>0</v>
      </c>
      <c r="D764" s="158">
        <f t="shared" si="231"/>
        <v>0</v>
      </c>
      <c r="E764" s="158">
        <f t="shared" si="231"/>
        <v>0</v>
      </c>
      <c r="F764" s="158">
        <f t="shared" si="231"/>
        <v>0</v>
      </c>
      <c r="G764" s="158">
        <f t="shared" si="231"/>
        <v>0</v>
      </c>
      <c r="H764" s="158">
        <f t="shared" si="231"/>
        <v>0</v>
      </c>
      <c r="I764" s="154">
        <f>SUM(H761-G763)</f>
        <v>0</v>
      </c>
    </row>
    <row r="765" spans="1:9" ht="13.5" thickBot="1" x14ac:dyDescent="0.25">
      <c r="A765" s="156" t="s">
        <v>37</v>
      </c>
      <c r="B765" s="160" t="s">
        <v>38</v>
      </c>
      <c r="C765" s="161">
        <v>0</v>
      </c>
      <c r="D765" s="161">
        <v>0</v>
      </c>
      <c r="E765" s="161">
        <v>0</v>
      </c>
      <c r="F765" s="161">
        <v>0</v>
      </c>
      <c r="G765" s="161">
        <v>0</v>
      </c>
      <c r="H765" s="161">
        <v>0</v>
      </c>
      <c r="I765" s="154">
        <f>SUM(H765-G765)</f>
        <v>0</v>
      </c>
    </row>
    <row r="766" spans="1:9" ht="13.5" thickBot="1" x14ac:dyDescent="0.25">
      <c r="A766" s="245" t="s">
        <v>77</v>
      </c>
      <c r="B766" s="246"/>
      <c r="C766" s="162">
        <f>C756+C764+C765</f>
        <v>76823</v>
      </c>
      <c r="D766" s="162">
        <f t="shared" ref="D766" si="232">D756+D764+D765</f>
        <v>71685</v>
      </c>
      <c r="E766" s="162">
        <f t="shared" ref="E766" si="233">E756+E764+E765</f>
        <v>71685</v>
      </c>
      <c r="F766" s="162">
        <f t="shared" ref="F766" si="234">F756+F764+F765</f>
        <v>71147</v>
      </c>
      <c r="G766" s="162">
        <f t="shared" ref="G766" si="235">G756+G764+G765</f>
        <v>71147</v>
      </c>
      <c r="H766" s="162">
        <f t="shared" ref="H766" si="236">H756+H764+H765</f>
        <v>70656</v>
      </c>
      <c r="I766" s="162">
        <f t="shared" ref="I766" si="237">I756+I764+I765</f>
        <v>-491</v>
      </c>
    </row>
    <row r="768" spans="1:9" ht="19.149999999999999" customHeight="1" x14ac:dyDescent="0.2">
      <c r="A768" s="244" t="s">
        <v>66</v>
      </c>
      <c r="B768" s="164" t="s">
        <v>20</v>
      </c>
      <c r="C768" s="165" t="s">
        <v>302</v>
      </c>
      <c r="D768" s="244" t="s">
        <v>19</v>
      </c>
      <c r="E768" s="166" t="s">
        <v>283</v>
      </c>
    </row>
    <row r="769" spans="1:9" ht="21" customHeight="1" x14ac:dyDescent="0.2">
      <c r="A769" s="244"/>
      <c r="B769" s="164" t="s">
        <v>21</v>
      </c>
      <c r="C769" s="165"/>
      <c r="D769" s="244"/>
      <c r="E769" s="166"/>
    </row>
    <row r="770" spans="1:9" ht="22.9" customHeight="1" x14ac:dyDescent="0.2">
      <c r="A770" s="244"/>
      <c r="B770" s="164" t="s">
        <v>22</v>
      </c>
      <c r="C770" s="165" t="str">
        <f>C729</f>
        <v>08.02.2022</v>
      </c>
      <c r="D770" s="244"/>
      <c r="E770" s="166" t="str">
        <f>E729</f>
        <v>08.02.2022</v>
      </c>
    </row>
    <row r="780" spans="1:9" ht="15.75" customHeight="1" thickBot="1" x14ac:dyDescent="0.25">
      <c r="A780" s="136"/>
      <c r="B780" s="137"/>
      <c r="C780" s="138"/>
      <c r="D780" s="138"/>
      <c r="E780" s="138"/>
      <c r="F780" s="138"/>
      <c r="G780" s="138"/>
      <c r="H780" s="138"/>
      <c r="I780" s="130" t="s">
        <v>68</v>
      </c>
    </row>
    <row r="781" spans="1:9" ht="24.95" customHeight="1" thickBot="1" x14ac:dyDescent="0.25">
      <c r="A781" s="139" t="s">
        <v>25</v>
      </c>
      <c r="B781" s="140" t="s">
        <v>115</v>
      </c>
      <c r="C781" s="239"/>
      <c r="D781" s="239"/>
      <c r="E781" s="239"/>
      <c r="F781" s="239"/>
      <c r="G781" s="239"/>
      <c r="H781" s="141" t="s">
        <v>26</v>
      </c>
      <c r="I781" s="142">
        <v>2137001</v>
      </c>
    </row>
    <row r="782" spans="1:9" ht="24.95" customHeight="1" thickBot="1" x14ac:dyDescent="0.25">
      <c r="A782" s="30" t="s">
        <v>28</v>
      </c>
      <c r="B782" s="143" t="s">
        <v>110</v>
      </c>
      <c r="C782" s="239"/>
      <c r="D782" s="239"/>
      <c r="E782" s="239"/>
      <c r="F782" s="239"/>
      <c r="G782" s="239"/>
      <c r="H782" s="141" t="s">
        <v>69</v>
      </c>
      <c r="I782" s="142">
        <v>10661</v>
      </c>
    </row>
    <row r="783" spans="1:9" ht="24.95" customHeight="1" thickBot="1" x14ac:dyDescent="0.25">
      <c r="A783" s="127" t="s">
        <v>30</v>
      </c>
      <c r="B783" s="240" t="s">
        <v>17</v>
      </c>
      <c r="C783" s="145">
        <v>-1</v>
      </c>
      <c r="D783" s="145">
        <v>-2</v>
      </c>
      <c r="E783" s="145">
        <v>-3</v>
      </c>
      <c r="F783" s="146">
        <v>-4</v>
      </c>
      <c r="G783" s="146">
        <v>-5</v>
      </c>
      <c r="H783" s="146">
        <v>-6</v>
      </c>
      <c r="I783" s="146" t="s">
        <v>11</v>
      </c>
    </row>
    <row r="784" spans="1:9" ht="24.95" customHeight="1" x14ac:dyDescent="0.2">
      <c r="A784" s="127"/>
      <c r="B784" s="241"/>
      <c r="C784" s="148" t="s">
        <v>12</v>
      </c>
      <c r="D784" s="148" t="s">
        <v>13</v>
      </c>
      <c r="E784" s="148" t="s">
        <v>14</v>
      </c>
      <c r="F784" s="148" t="s">
        <v>14</v>
      </c>
      <c r="G784" s="148" t="s">
        <v>14</v>
      </c>
      <c r="H784" s="148" t="s">
        <v>31</v>
      </c>
      <c r="I784" s="126" t="s">
        <v>15</v>
      </c>
    </row>
    <row r="785" spans="1:9" ht="24.95" customHeight="1" x14ac:dyDescent="0.2">
      <c r="A785" s="127"/>
      <c r="B785" s="242"/>
      <c r="C785" s="128" t="s">
        <v>292</v>
      </c>
      <c r="D785" s="128" t="s">
        <v>293</v>
      </c>
      <c r="E785" s="128" t="s">
        <v>294</v>
      </c>
      <c r="F785" s="128" t="s">
        <v>116</v>
      </c>
      <c r="G785" s="150" t="s">
        <v>32</v>
      </c>
      <c r="H785" s="128" t="s">
        <v>33</v>
      </c>
      <c r="I785" s="128"/>
    </row>
    <row r="786" spans="1:9" ht="24.95" customHeight="1" thickBot="1" x14ac:dyDescent="0.25">
      <c r="A786" s="30"/>
      <c r="B786" s="243"/>
      <c r="C786" s="129"/>
      <c r="D786" s="30"/>
      <c r="E786" s="30"/>
      <c r="F786" s="30"/>
      <c r="G786" s="151"/>
      <c r="H786" s="129" t="s">
        <v>34</v>
      </c>
      <c r="I786" s="129"/>
    </row>
    <row r="787" spans="1:9" ht="15" customHeight="1" thickBot="1" x14ac:dyDescent="0.25">
      <c r="A787" s="152">
        <v>600</v>
      </c>
      <c r="B787" s="153" t="s">
        <v>117</v>
      </c>
      <c r="C787" s="142">
        <v>0</v>
      </c>
      <c r="D787" s="142">
        <v>0</v>
      </c>
      <c r="E787" s="142">
        <v>0</v>
      </c>
      <c r="F787" s="142">
        <v>0</v>
      </c>
      <c r="G787" s="142">
        <v>0</v>
      </c>
      <c r="H787" s="142">
        <v>0</v>
      </c>
      <c r="I787" s="154">
        <f t="shared" ref="I787:I807" si="238">SUM(H787-G787)</f>
        <v>0</v>
      </c>
    </row>
    <row r="788" spans="1:9" ht="15" customHeight="1" thickBot="1" x14ac:dyDescent="0.25">
      <c r="A788" s="152">
        <v>601</v>
      </c>
      <c r="B788" s="153" t="s">
        <v>118</v>
      </c>
      <c r="C788" s="142">
        <v>0</v>
      </c>
      <c r="D788" s="142">
        <v>0</v>
      </c>
      <c r="E788" s="142">
        <v>0</v>
      </c>
      <c r="F788" s="142">
        <v>0</v>
      </c>
      <c r="G788" s="142">
        <v>0</v>
      </c>
      <c r="H788" s="142">
        <v>0</v>
      </c>
      <c r="I788" s="154">
        <f t="shared" si="238"/>
        <v>0</v>
      </c>
    </row>
    <row r="789" spans="1:9" ht="15" customHeight="1" thickBot="1" x14ac:dyDescent="0.25">
      <c r="A789" s="152">
        <v>602</v>
      </c>
      <c r="B789" s="153" t="s">
        <v>119</v>
      </c>
      <c r="C789" s="142">
        <v>0</v>
      </c>
      <c r="D789" s="159">
        <v>1000</v>
      </c>
      <c r="E789" s="159">
        <v>1000</v>
      </c>
      <c r="F789" s="142">
        <v>1000</v>
      </c>
      <c r="G789" s="142">
        <v>1000</v>
      </c>
      <c r="H789" s="142">
        <v>636</v>
      </c>
      <c r="I789" s="154">
        <f t="shared" si="238"/>
        <v>-364</v>
      </c>
    </row>
    <row r="790" spans="1:9" ht="15" customHeight="1" thickBot="1" x14ac:dyDescent="0.25">
      <c r="A790" s="152">
        <v>603</v>
      </c>
      <c r="B790" s="153" t="s">
        <v>120</v>
      </c>
      <c r="C790" s="142">
        <v>0</v>
      </c>
      <c r="D790" s="142">
        <v>0</v>
      </c>
      <c r="E790" s="142">
        <v>0</v>
      </c>
      <c r="F790" s="142">
        <v>0</v>
      </c>
      <c r="G790" s="142">
        <v>0</v>
      </c>
      <c r="H790" s="142">
        <v>0</v>
      </c>
      <c r="I790" s="154">
        <f t="shared" si="238"/>
        <v>0</v>
      </c>
    </row>
    <row r="791" spans="1:9" ht="15" customHeight="1" thickBot="1" x14ac:dyDescent="0.25">
      <c r="A791" s="152">
        <v>604</v>
      </c>
      <c r="B791" s="153" t="s">
        <v>121</v>
      </c>
      <c r="C791" s="142">
        <v>0</v>
      </c>
      <c r="D791" s="142">
        <v>0</v>
      </c>
      <c r="E791" s="142">
        <v>0</v>
      </c>
      <c r="F791" s="142">
        <v>0</v>
      </c>
      <c r="G791" s="142">
        <v>0</v>
      </c>
      <c r="H791" s="142">
        <v>0</v>
      </c>
      <c r="I791" s="154">
        <f t="shared" si="238"/>
        <v>0</v>
      </c>
    </row>
    <row r="792" spans="1:9" ht="15" customHeight="1" thickBot="1" x14ac:dyDescent="0.25">
      <c r="A792" s="152">
        <v>605</v>
      </c>
      <c r="B792" s="153" t="s">
        <v>122</v>
      </c>
      <c r="C792" s="142">
        <v>0</v>
      </c>
      <c r="D792" s="142">
        <v>0</v>
      </c>
      <c r="E792" s="142">
        <v>0</v>
      </c>
      <c r="F792" s="142">
        <v>0</v>
      </c>
      <c r="G792" s="142">
        <v>0</v>
      </c>
      <c r="H792" s="142">
        <v>0</v>
      </c>
      <c r="I792" s="154">
        <f t="shared" si="238"/>
        <v>0</v>
      </c>
    </row>
    <row r="793" spans="1:9" ht="15" customHeight="1" thickBot="1" x14ac:dyDescent="0.25">
      <c r="A793" s="152">
        <v>606</v>
      </c>
      <c r="B793" s="153" t="s">
        <v>70</v>
      </c>
      <c r="C793" s="142">
        <v>0</v>
      </c>
      <c r="D793" s="142">
        <v>0</v>
      </c>
      <c r="E793" s="142">
        <v>0</v>
      </c>
      <c r="F793" s="142">
        <v>0</v>
      </c>
      <c r="G793" s="142">
        <v>0</v>
      </c>
      <c r="H793" s="142">
        <v>0</v>
      </c>
      <c r="I793" s="154">
        <f t="shared" si="238"/>
        <v>0</v>
      </c>
    </row>
    <row r="794" spans="1:9" ht="15" customHeight="1" thickBot="1" x14ac:dyDescent="0.25">
      <c r="A794" s="152">
        <v>609</v>
      </c>
      <c r="B794" s="153" t="s">
        <v>123</v>
      </c>
      <c r="C794" s="142">
        <v>0</v>
      </c>
      <c r="D794" s="142">
        <v>0</v>
      </c>
      <c r="E794" s="142">
        <v>0</v>
      </c>
      <c r="F794" s="142">
        <v>0</v>
      </c>
      <c r="G794" s="142">
        <v>0</v>
      </c>
      <c r="H794" s="142">
        <v>0</v>
      </c>
      <c r="I794" s="154">
        <f t="shared" si="238"/>
        <v>0</v>
      </c>
    </row>
    <row r="795" spans="1:9" ht="15" customHeight="1" thickBot="1" x14ac:dyDescent="0.25">
      <c r="A795" s="152">
        <v>650</v>
      </c>
      <c r="B795" s="153" t="s">
        <v>124</v>
      </c>
      <c r="C795" s="142">
        <v>0</v>
      </c>
      <c r="D795" s="142">
        <v>0</v>
      </c>
      <c r="E795" s="142">
        <v>0</v>
      </c>
      <c r="F795" s="142">
        <v>0</v>
      </c>
      <c r="G795" s="142">
        <v>0</v>
      </c>
      <c r="H795" s="142">
        <v>0</v>
      </c>
      <c r="I795" s="154">
        <f t="shared" si="238"/>
        <v>0</v>
      </c>
    </row>
    <row r="796" spans="1:9" ht="15" customHeight="1" thickBot="1" x14ac:dyDescent="0.25">
      <c r="A796" s="152" t="s">
        <v>71</v>
      </c>
      <c r="B796" s="153" t="s">
        <v>72</v>
      </c>
      <c r="C796" s="142">
        <v>0</v>
      </c>
      <c r="D796" s="142">
        <v>0</v>
      </c>
      <c r="E796" s="142">
        <v>0</v>
      </c>
      <c r="F796" s="142">
        <v>0</v>
      </c>
      <c r="G796" s="142">
        <v>0</v>
      </c>
      <c r="H796" s="142">
        <v>0</v>
      </c>
      <c r="I796" s="154">
        <f t="shared" si="238"/>
        <v>0</v>
      </c>
    </row>
    <row r="797" spans="1:9" ht="26.25" thickBot="1" x14ac:dyDescent="0.25">
      <c r="A797" s="156" t="s">
        <v>35</v>
      </c>
      <c r="B797" s="157" t="s">
        <v>73</v>
      </c>
      <c r="C797" s="158">
        <f>SUM(C787:C796)</f>
        <v>0</v>
      </c>
      <c r="D797" s="158">
        <f t="shared" ref="D797" si="239">SUM(D787:D796)</f>
        <v>1000</v>
      </c>
      <c r="E797" s="158">
        <f t="shared" ref="E797" si="240">SUM(E787:E796)</f>
        <v>1000</v>
      </c>
      <c r="F797" s="158">
        <f t="shared" ref="F797" si="241">SUM(F787:F796)</f>
        <v>1000</v>
      </c>
      <c r="G797" s="158">
        <f t="shared" ref="G797" si="242">SUM(G787:G796)</f>
        <v>1000</v>
      </c>
      <c r="H797" s="158">
        <f t="shared" ref="H797" si="243">SUM(H787:H796)</f>
        <v>636</v>
      </c>
      <c r="I797" s="154">
        <f t="shared" si="238"/>
        <v>-364</v>
      </c>
    </row>
    <row r="798" spans="1:9" ht="15" customHeight="1" thickBot="1" x14ac:dyDescent="0.25">
      <c r="A798" s="152">
        <v>230</v>
      </c>
      <c r="B798" s="152" t="s">
        <v>74</v>
      </c>
      <c r="C798" s="142">
        <v>0</v>
      </c>
      <c r="D798" s="142">
        <v>0</v>
      </c>
      <c r="E798" s="142">
        <v>0</v>
      </c>
      <c r="F798" s="142">
        <v>0</v>
      </c>
      <c r="G798" s="142">
        <v>0</v>
      </c>
      <c r="H798" s="142">
        <v>0</v>
      </c>
      <c r="I798" s="154">
        <f t="shared" si="238"/>
        <v>0</v>
      </c>
    </row>
    <row r="799" spans="1:9" ht="15" customHeight="1" thickBot="1" x14ac:dyDescent="0.25">
      <c r="A799" s="152">
        <v>231</v>
      </c>
      <c r="B799" s="152" t="s">
        <v>125</v>
      </c>
      <c r="C799" s="142">
        <v>1277</v>
      </c>
      <c r="D799" s="142">
        <v>4010</v>
      </c>
      <c r="E799" s="142">
        <v>4010</v>
      </c>
      <c r="F799" s="142">
        <v>4010</v>
      </c>
      <c r="G799" s="142">
        <v>4010</v>
      </c>
      <c r="H799" s="142">
        <v>4010</v>
      </c>
      <c r="I799" s="154">
        <f t="shared" si="238"/>
        <v>0</v>
      </c>
    </row>
    <row r="800" spans="1:9" ht="15" customHeight="1" thickBot="1" x14ac:dyDescent="0.25">
      <c r="A800" s="152">
        <v>232</v>
      </c>
      <c r="B800" s="152" t="s">
        <v>75</v>
      </c>
      <c r="C800" s="142">
        <v>0</v>
      </c>
      <c r="D800" s="142">
        <v>0</v>
      </c>
      <c r="E800" s="142">
        <v>0</v>
      </c>
      <c r="F800" s="142">
        <v>0</v>
      </c>
      <c r="G800" s="142">
        <v>0</v>
      </c>
      <c r="H800" s="142">
        <v>0</v>
      </c>
      <c r="I800" s="154">
        <f t="shared" si="238"/>
        <v>0</v>
      </c>
    </row>
    <row r="801" spans="1:9" ht="21" customHeight="1" thickBot="1" x14ac:dyDescent="0.25">
      <c r="A801" s="156" t="s">
        <v>35</v>
      </c>
      <c r="B801" s="157" t="s">
        <v>76</v>
      </c>
      <c r="C801" s="158">
        <f t="shared" ref="C801:H801" si="244">SUM(C798:C800)</f>
        <v>1277</v>
      </c>
      <c r="D801" s="158">
        <f t="shared" si="244"/>
        <v>4010</v>
      </c>
      <c r="E801" s="158">
        <f t="shared" si="244"/>
        <v>4010</v>
      </c>
      <c r="F801" s="158">
        <f t="shared" si="244"/>
        <v>4010</v>
      </c>
      <c r="G801" s="158">
        <f t="shared" si="244"/>
        <v>4010</v>
      </c>
      <c r="H801" s="158">
        <f t="shared" si="244"/>
        <v>4010</v>
      </c>
      <c r="I801" s="154">
        <f t="shared" si="238"/>
        <v>0</v>
      </c>
    </row>
    <row r="802" spans="1:9" ht="15" customHeight="1" thickBot="1" x14ac:dyDescent="0.25">
      <c r="A802" s="152">
        <v>230</v>
      </c>
      <c r="B802" s="152" t="s">
        <v>74</v>
      </c>
      <c r="C802" s="142">
        <v>0</v>
      </c>
      <c r="D802" s="142">
        <v>0</v>
      </c>
      <c r="E802" s="142">
        <v>0</v>
      </c>
      <c r="F802" s="142">
        <v>0</v>
      </c>
      <c r="G802" s="142">
        <v>0</v>
      </c>
      <c r="H802" s="142">
        <v>0</v>
      </c>
      <c r="I802" s="154">
        <f t="shared" si="238"/>
        <v>0</v>
      </c>
    </row>
    <row r="803" spans="1:9" ht="15" customHeight="1" thickBot="1" x14ac:dyDescent="0.25">
      <c r="A803" s="152">
        <v>231</v>
      </c>
      <c r="B803" s="152" t="s">
        <v>125</v>
      </c>
      <c r="C803" s="142">
        <v>0</v>
      </c>
      <c r="D803" s="142">
        <v>0</v>
      </c>
      <c r="E803" s="142">
        <v>0</v>
      </c>
      <c r="F803" s="142">
        <v>0</v>
      </c>
      <c r="G803" s="142">
        <v>0</v>
      </c>
      <c r="H803" s="142">
        <v>0</v>
      </c>
      <c r="I803" s="154">
        <f t="shared" si="238"/>
        <v>0</v>
      </c>
    </row>
    <row r="804" spans="1:9" ht="15" customHeight="1" thickBot="1" x14ac:dyDescent="0.25">
      <c r="A804" s="152">
        <v>232</v>
      </c>
      <c r="B804" s="152" t="s">
        <v>75</v>
      </c>
      <c r="C804" s="142">
        <v>0</v>
      </c>
      <c r="D804" s="142">
        <v>0</v>
      </c>
      <c r="E804" s="142">
        <v>0</v>
      </c>
      <c r="F804" s="142">
        <v>0</v>
      </c>
      <c r="G804" s="142">
        <v>0</v>
      </c>
      <c r="H804" s="142">
        <v>0</v>
      </c>
      <c r="I804" s="154">
        <f t="shared" si="238"/>
        <v>0</v>
      </c>
    </row>
    <row r="805" spans="1:9" ht="20.45" customHeight="1" thickBot="1" x14ac:dyDescent="0.25">
      <c r="A805" s="156" t="s">
        <v>35</v>
      </c>
      <c r="B805" s="157" t="s">
        <v>36</v>
      </c>
      <c r="C805" s="158">
        <f t="shared" ref="C805:H805" si="245">SUM(C802:C804)</f>
        <v>0</v>
      </c>
      <c r="D805" s="158">
        <f t="shared" si="245"/>
        <v>0</v>
      </c>
      <c r="E805" s="158">
        <f t="shared" si="245"/>
        <v>0</v>
      </c>
      <c r="F805" s="158">
        <f t="shared" si="245"/>
        <v>0</v>
      </c>
      <c r="G805" s="158">
        <f t="shared" si="245"/>
        <v>0</v>
      </c>
      <c r="H805" s="158">
        <f t="shared" si="245"/>
        <v>0</v>
      </c>
      <c r="I805" s="154">
        <f t="shared" si="238"/>
        <v>0</v>
      </c>
    </row>
    <row r="806" spans="1:9" ht="13.5" thickBot="1" x14ac:dyDescent="0.25">
      <c r="A806" s="156" t="s">
        <v>37</v>
      </c>
      <c r="B806" s="160" t="s">
        <v>38</v>
      </c>
      <c r="C806" s="161">
        <f>C801+C805</f>
        <v>1277</v>
      </c>
      <c r="D806" s="161">
        <f t="shared" ref="D806" si="246">D801+D805</f>
        <v>4010</v>
      </c>
      <c r="E806" s="161">
        <f t="shared" ref="E806" si="247">E801+E805</f>
        <v>4010</v>
      </c>
      <c r="F806" s="161">
        <f t="shared" ref="F806" si="248">F801+F805</f>
        <v>4010</v>
      </c>
      <c r="G806" s="161">
        <f t="shared" ref="G806" si="249">G801+G805</f>
        <v>4010</v>
      </c>
      <c r="H806" s="161">
        <f t="shared" ref="H806" si="250">H801+H805</f>
        <v>4010</v>
      </c>
      <c r="I806" s="154">
        <f t="shared" si="238"/>
        <v>0</v>
      </c>
    </row>
    <row r="807" spans="1:9" ht="13.5" thickBot="1" x14ac:dyDescent="0.25">
      <c r="A807" s="245" t="s">
        <v>77</v>
      </c>
      <c r="B807" s="246"/>
      <c r="C807" s="162">
        <f t="shared" ref="C807:H807" si="251">C797+C806</f>
        <v>1277</v>
      </c>
      <c r="D807" s="162">
        <f t="shared" si="251"/>
        <v>5010</v>
      </c>
      <c r="E807" s="162">
        <f t="shared" si="251"/>
        <v>5010</v>
      </c>
      <c r="F807" s="162">
        <f t="shared" si="251"/>
        <v>5010</v>
      </c>
      <c r="G807" s="162">
        <f t="shared" si="251"/>
        <v>5010</v>
      </c>
      <c r="H807" s="162">
        <f t="shared" si="251"/>
        <v>4646</v>
      </c>
      <c r="I807" s="154">
        <f t="shared" si="238"/>
        <v>-364</v>
      </c>
    </row>
    <row r="809" spans="1:9" ht="19.149999999999999" customHeight="1" x14ac:dyDescent="0.2">
      <c r="A809" s="244" t="s">
        <v>66</v>
      </c>
      <c r="B809" s="164" t="s">
        <v>20</v>
      </c>
      <c r="C809" s="165" t="s">
        <v>302</v>
      </c>
      <c r="D809" s="244" t="s">
        <v>19</v>
      </c>
      <c r="E809" s="166" t="s">
        <v>283</v>
      </c>
    </row>
    <row r="810" spans="1:9" ht="21" customHeight="1" x14ac:dyDescent="0.2">
      <c r="A810" s="244"/>
      <c r="B810" s="164" t="s">
        <v>21</v>
      </c>
      <c r="C810" s="165"/>
      <c r="D810" s="244"/>
      <c r="E810" s="166"/>
    </row>
    <row r="811" spans="1:9" ht="22.9" customHeight="1" x14ac:dyDescent="0.2">
      <c r="A811" s="244"/>
      <c r="B811" s="164" t="s">
        <v>22</v>
      </c>
      <c r="C811" s="165" t="str">
        <f>C770</f>
        <v>08.02.2022</v>
      </c>
      <c r="D811" s="244"/>
      <c r="E811" s="166" t="str">
        <f>E770</f>
        <v>08.02.2022</v>
      </c>
    </row>
    <row r="822" spans="1:11" ht="15.75" customHeight="1" thickBot="1" x14ac:dyDescent="0.25">
      <c r="A822" s="136"/>
      <c r="B822" s="137"/>
      <c r="C822" s="138"/>
      <c r="D822" s="138"/>
      <c r="E822" s="138"/>
      <c r="F822" s="138"/>
      <c r="G822" s="138"/>
      <c r="H822" s="138"/>
      <c r="I822" s="130" t="s">
        <v>68</v>
      </c>
    </row>
    <row r="823" spans="1:11" ht="24.95" customHeight="1" thickBot="1" x14ac:dyDescent="0.25">
      <c r="A823" s="139" t="s">
        <v>25</v>
      </c>
      <c r="B823" s="140" t="s">
        <v>115</v>
      </c>
      <c r="C823" s="239"/>
      <c r="D823" s="239"/>
      <c r="E823" s="239"/>
      <c r="F823" s="239"/>
      <c r="G823" s="239"/>
      <c r="H823" s="141" t="s">
        <v>26</v>
      </c>
      <c r="I823" s="142">
        <v>2137001</v>
      </c>
    </row>
    <row r="824" spans="1:11" ht="24.95" customHeight="1" thickBot="1" x14ac:dyDescent="0.25">
      <c r="A824" s="30" t="s">
        <v>28</v>
      </c>
      <c r="B824" s="143" t="s">
        <v>111</v>
      </c>
      <c r="C824" s="239"/>
      <c r="D824" s="239"/>
      <c r="E824" s="239"/>
      <c r="F824" s="239"/>
      <c r="G824" s="239"/>
      <c r="H824" s="141" t="s">
        <v>69</v>
      </c>
      <c r="I824" s="142">
        <v>1620</v>
      </c>
    </row>
    <row r="825" spans="1:11" ht="24.95" customHeight="1" thickBot="1" x14ac:dyDescent="0.25">
      <c r="A825" s="127" t="s">
        <v>30</v>
      </c>
      <c r="B825" s="240" t="s">
        <v>17</v>
      </c>
      <c r="C825" s="145">
        <v>-1</v>
      </c>
      <c r="D825" s="145">
        <v>-2</v>
      </c>
      <c r="E825" s="145">
        <v>-3</v>
      </c>
      <c r="F825" s="146">
        <v>-4</v>
      </c>
      <c r="G825" s="146">
        <v>-5</v>
      </c>
      <c r="H825" s="146">
        <v>-6</v>
      </c>
      <c r="I825" s="146" t="s">
        <v>11</v>
      </c>
    </row>
    <row r="826" spans="1:11" ht="24.95" customHeight="1" x14ac:dyDescent="0.25">
      <c r="A826" s="127"/>
      <c r="B826" s="241"/>
      <c r="C826" s="148" t="s">
        <v>12</v>
      </c>
      <c r="D826" s="148" t="s">
        <v>13</v>
      </c>
      <c r="E826" s="148" t="s">
        <v>14</v>
      </c>
      <c r="F826" s="148" t="s">
        <v>14</v>
      </c>
      <c r="G826" s="148" t="s">
        <v>14</v>
      </c>
      <c r="H826" s="148" t="s">
        <v>31</v>
      </c>
      <c r="I826" s="126" t="s">
        <v>15</v>
      </c>
      <c r="K826"/>
    </row>
    <row r="827" spans="1:11" ht="24.95" customHeight="1" x14ac:dyDescent="0.25">
      <c r="A827" s="127"/>
      <c r="B827" s="242"/>
      <c r="C827" s="128" t="s">
        <v>292</v>
      </c>
      <c r="D827" s="128" t="s">
        <v>293</v>
      </c>
      <c r="E827" s="128" t="s">
        <v>294</v>
      </c>
      <c r="F827" s="128" t="s">
        <v>116</v>
      </c>
      <c r="G827" s="150" t="s">
        <v>32</v>
      </c>
      <c r="H827" s="128" t="s">
        <v>33</v>
      </c>
      <c r="I827" s="128"/>
      <c r="K827"/>
    </row>
    <row r="828" spans="1:11" ht="24.95" customHeight="1" thickBot="1" x14ac:dyDescent="0.3">
      <c r="A828" s="30"/>
      <c r="B828" s="243"/>
      <c r="C828" s="129"/>
      <c r="D828" s="30"/>
      <c r="E828" s="30"/>
      <c r="F828" s="30"/>
      <c r="G828" s="151"/>
      <c r="H828" s="129" t="s">
        <v>34</v>
      </c>
      <c r="I828" s="129"/>
      <c r="K828"/>
    </row>
    <row r="829" spans="1:11" ht="15" customHeight="1" thickBot="1" x14ac:dyDescent="0.3">
      <c r="A829" s="152">
        <v>600</v>
      </c>
      <c r="B829" s="153" t="s">
        <v>117</v>
      </c>
      <c r="C829" s="142">
        <v>0</v>
      </c>
      <c r="D829" s="142">
        <v>0</v>
      </c>
      <c r="E829" s="142">
        <v>0</v>
      </c>
      <c r="F829" s="142">
        <v>1134</v>
      </c>
      <c r="G829" s="142">
        <v>1134</v>
      </c>
      <c r="H829" s="142">
        <v>1122</v>
      </c>
      <c r="I829" s="154">
        <f t="shared" ref="I829:I842" si="252">SUM(H829-G829)</f>
        <v>-12</v>
      </c>
      <c r="K829"/>
    </row>
    <row r="830" spans="1:11" ht="15" customHeight="1" thickBot="1" x14ac:dyDescent="0.3">
      <c r="A830" s="152">
        <v>601</v>
      </c>
      <c r="B830" s="153" t="s">
        <v>118</v>
      </c>
      <c r="C830" s="142">
        <v>0</v>
      </c>
      <c r="D830" s="142">
        <v>0</v>
      </c>
      <c r="E830" s="142">
        <v>0</v>
      </c>
      <c r="F830" s="142">
        <v>0</v>
      </c>
      <c r="G830" s="142">
        <v>0</v>
      </c>
      <c r="H830" s="142">
        <v>0</v>
      </c>
      <c r="I830" s="154">
        <f t="shared" si="252"/>
        <v>0</v>
      </c>
      <c r="K830"/>
    </row>
    <row r="831" spans="1:11" ht="15" customHeight="1" thickBot="1" x14ac:dyDescent="0.3">
      <c r="A831" s="152">
        <v>602</v>
      </c>
      <c r="B831" s="153" t="s">
        <v>119</v>
      </c>
      <c r="C831" s="142">
        <v>0</v>
      </c>
      <c r="D831" s="142">
        <v>0</v>
      </c>
      <c r="E831" s="142">
        <v>0</v>
      </c>
      <c r="F831" s="142">
        <v>89</v>
      </c>
      <c r="G831" s="142">
        <v>89</v>
      </c>
      <c r="H831" s="142">
        <v>0</v>
      </c>
      <c r="I831" s="154">
        <f t="shared" si="252"/>
        <v>-89</v>
      </c>
      <c r="K831"/>
    </row>
    <row r="832" spans="1:11" ht="15" customHeight="1" thickBot="1" x14ac:dyDescent="0.3">
      <c r="A832" s="152">
        <v>603</v>
      </c>
      <c r="B832" s="153" t="s">
        <v>120</v>
      </c>
      <c r="C832" s="142">
        <v>0</v>
      </c>
      <c r="D832" s="142">
        <v>0</v>
      </c>
      <c r="E832" s="142">
        <v>0</v>
      </c>
      <c r="F832" s="142">
        <v>0</v>
      </c>
      <c r="G832" s="142">
        <v>0</v>
      </c>
      <c r="H832" s="142">
        <v>0</v>
      </c>
      <c r="I832" s="154">
        <f t="shared" si="252"/>
        <v>0</v>
      </c>
      <c r="K832"/>
    </row>
    <row r="833" spans="1:11" ht="15" customHeight="1" thickBot="1" x14ac:dyDescent="0.3">
      <c r="A833" s="152">
        <v>604</v>
      </c>
      <c r="B833" s="153" t="s">
        <v>121</v>
      </c>
      <c r="C833" s="142">
        <v>0</v>
      </c>
      <c r="D833" s="142">
        <v>0</v>
      </c>
      <c r="E833" s="142">
        <v>0</v>
      </c>
      <c r="F833" s="142">
        <v>0</v>
      </c>
      <c r="G833" s="142">
        <v>0</v>
      </c>
      <c r="H833" s="142">
        <v>0</v>
      </c>
      <c r="I833" s="154">
        <f t="shared" si="252"/>
        <v>0</v>
      </c>
      <c r="K833"/>
    </row>
    <row r="834" spans="1:11" ht="15" customHeight="1" thickBot="1" x14ac:dyDescent="0.3">
      <c r="A834" s="152">
        <v>605</v>
      </c>
      <c r="B834" s="153" t="s">
        <v>122</v>
      </c>
      <c r="C834" s="142">
        <v>0</v>
      </c>
      <c r="D834" s="142">
        <v>0</v>
      </c>
      <c r="E834" s="142">
        <v>0</v>
      </c>
      <c r="F834" s="142">
        <v>0</v>
      </c>
      <c r="G834" s="142">
        <v>0</v>
      </c>
      <c r="H834" s="142">
        <v>0</v>
      </c>
      <c r="I834" s="154">
        <f t="shared" si="252"/>
        <v>0</v>
      </c>
      <c r="K834"/>
    </row>
    <row r="835" spans="1:11" ht="15" customHeight="1" thickBot="1" x14ac:dyDescent="0.3">
      <c r="A835" s="152">
        <v>606</v>
      </c>
      <c r="B835" s="153" t="s">
        <v>70</v>
      </c>
      <c r="C835" s="142">
        <v>0</v>
      </c>
      <c r="D835" s="142">
        <v>0</v>
      </c>
      <c r="E835" s="142">
        <v>0</v>
      </c>
      <c r="F835" s="142">
        <v>0</v>
      </c>
      <c r="G835" s="142">
        <v>0</v>
      </c>
      <c r="H835" s="142">
        <v>0</v>
      </c>
      <c r="I835" s="154">
        <f t="shared" si="252"/>
        <v>0</v>
      </c>
      <c r="K835"/>
    </row>
    <row r="836" spans="1:11" ht="15" customHeight="1" thickBot="1" x14ac:dyDescent="0.25">
      <c r="A836" s="152">
        <v>609</v>
      </c>
      <c r="B836" s="153" t="s">
        <v>123</v>
      </c>
      <c r="C836" s="142">
        <v>0</v>
      </c>
      <c r="D836" s="142">
        <v>0</v>
      </c>
      <c r="E836" s="142">
        <v>0</v>
      </c>
      <c r="F836" s="142">
        <v>0</v>
      </c>
      <c r="G836" s="142">
        <v>0</v>
      </c>
      <c r="H836" s="142">
        <v>0</v>
      </c>
      <c r="I836" s="154">
        <f t="shared" si="252"/>
        <v>0</v>
      </c>
    </row>
    <row r="837" spans="1:11" ht="15" customHeight="1" thickBot="1" x14ac:dyDescent="0.25">
      <c r="A837" s="152">
        <v>650</v>
      </c>
      <c r="B837" s="153" t="s">
        <v>124</v>
      </c>
      <c r="C837" s="142">
        <v>0</v>
      </c>
      <c r="D837" s="142">
        <v>0</v>
      </c>
      <c r="E837" s="142">
        <v>0</v>
      </c>
      <c r="F837" s="142">
        <v>0</v>
      </c>
      <c r="G837" s="142">
        <v>0</v>
      </c>
      <c r="H837" s="142">
        <v>0</v>
      </c>
      <c r="I837" s="154">
        <f t="shared" si="252"/>
        <v>0</v>
      </c>
    </row>
    <row r="838" spans="1:11" ht="15" customHeight="1" thickBot="1" x14ac:dyDescent="0.25">
      <c r="A838" s="152" t="s">
        <v>71</v>
      </c>
      <c r="B838" s="153" t="s">
        <v>72</v>
      </c>
      <c r="C838" s="142">
        <v>0</v>
      </c>
      <c r="D838" s="142">
        <v>0</v>
      </c>
      <c r="E838" s="142">
        <v>0</v>
      </c>
      <c r="F838" s="142">
        <v>0</v>
      </c>
      <c r="G838" s="142">
        <v>0</v>
      </c>
      <c r="H838" s="142">
        <v>0</v>
      </c>
      <c r="I838" s="154">
        <f t="shared" si="252"/>
        <v>0</v>
      </c>
    </row>
    <row r="839" spans="1:11" ht="26.25" thickBot="1" x14ac:dyDescent="0.25">
      <c r="A839" s="156" t="s">
        <v>35</v>
      </c>
      <c r="B839" s="157" t="s">
        <v>73</v>
      </c>
      <c r="C839" s="158">
        <f>SUM(C829:C838)</f>
        <v>0</v>
      </c>
      <c r="D839" s="158">
        <f t="shared" ref="D839" si="253">SUM(D829:D838)</f>
        <v>0</v>
      </c>
      <c r="E839" s="158">
        <f t="shared" ref="E839" si="254">SUM(E829:E838)</f>
        <v>0</v>
      </c>
      <c r="F839" s="158">
        <f t="shared" ref="F839" si="255">SUM(F829:F838)</f>
        <v>1223</v>
      </c>
      <c r="G839" s="158">
        <f t="shared" ref="G839" si="256">SUM(G829:G838)</f>
        <v>1223</v>
      </c>
      <c r="H839" s="158">
        <f t="shared" ref="H839" si="257">SUM(H829:H838)</f>
        <v>1122</v>
      </c>
      <c r="I839" s="154">
        <f t="shared" si="252"/>
        <v>-101</v>
      </c>
    </row>
    <row r="840" spans="1:11" ht="15" customHeight="1" thickBot="1" x14ac:dyDescent="0.25">
      <c r="A840" s="152">
        <v>230</v>
      </c>
      <c r="B840" s="152" t="s">
        <v>74</v>
      </c>
      <c r="C840" s="142">
        <v>0</v>
      </c>
      <c r="D840" s="142">
        <v>0</v>
      </c>
      <c r="E840" s="142">
        <v>0</v>
      </c>
      <c r="F840" s="142">
        <v>0</v>
      </c>
      <c r="G840" s="142">
        <v>0</v>
      </c>
      <c r="H840" s="142">
        <v>0</v>
      </c>
      <c r="I840" s="154">
        <f t="shared" si="252"/>
        <v>0</v>
      </c>
    </row>
    <row r="841" spans="1:11" ht="15" customHeight="1" thickBot="1" x14ac:dyDescent="0.25">
      <c r="A841" s="152">
        <v>231</v>
      </c>
      <c r="B841" s="152" t="s">
        <v>125</v>
      </c>
      <c r="C841" s="142">
        <v>0</v>
      </c>
      <c r="D841" s="142">
        <v>0</v>
      </c>
      <c r="E841" s="142">
        <v>0</v>
      </c>
      <c r="F841" s="142">
        <v>0</v>
      </c>
      <c r="G841" s="142">
        <v>0</v>
      </c>
      <c r="H841" s="142">
        <v>0</v>
      </c>
      <c r="I841" s="154">
        <f t="shared" si="252"/>
        <v>0</v>
      </c>
    </row>
    <row r="842" spans="1:11" ht="15" customHeight="1" thickBot="1" x14ac:dyDescent="0.25">
      <c r="A842" s="152">
        <v>232</v>
      </c>
      <c r="B842" s="152" t="s">
        <v>75</v>
      </c>
      <c r="C842" s="142">
        <v>0</v>
      </c>
      <c r="D842" s="142">
        <v>0</v>
      </c>
      <c r="E842" s="142">
        <v>0</v>
      </c>
      <c r="F842" s="142">
        <v>0</v>
      </c>
      <c r="G842" s="142">
        <v>0</v>
      </c>
      <c r="H842" s="142">
        <v>0</v>
      </c>
      <c r="I842" s="154">
        <f t="shared" si="252"/>
        <v>0</v>
      </c>
    </row>
    <row r="843" spans="1:11" ht="21" customHeight="1" thickBot="1" x14ac:dyDescent="0.25">
      <c r="A843" s="156" t="s">
        <v>35</v>
      </c>
      <c r="B843" s="157" t="s">
        <v>76</v>
      </c>
      <c r="C843" s="158">
        <f t="shared" ref="C843:H843" si="258">SUM(C840:C842)</f>
        <v>0</v>
      </c>
      <c r="D843" s="158">
        <f t="shared" si="258"/>
        <v>0</v>
      </c>
      <c r="E843" s="158">
        <f t="shared" si="258"/>
        <v>0</v>
      </c>
      <c r="F843" s="158">
        <f t="shared" si="258"/>
        <v>0</v>
      </c>
      <c r="G843" s="158">
        <f t="shared" si="258"/>
        <v>0</v>
      </c>
      <c r="H843" s="158">
        <f t="shared" si="258"/>
        <v>0</v>
      </c>
      <c r="I843" s="154">
        <f>SUM(H840-G842)</f>
        <v>0</v>
      </c>
    </row>
    <row r="844" spans="1:11" ht="15" customHeight="1" thickBot="1" x14ac:dyDescent="0.25">
      <c r="A844" s="152">
        <v>230</v>
      </c>
      <c r="B844" s="152" t="s">
        <v>74</v>
      </c>
      <c r="C844" s="142">
        <v>0</v>
      </c>
      <c r="D844" s="142">
        <v>0</v>
      </c>
      <c r="E844" s="142">
        <v>0</v>
      </c>
      <c r="F844" s="142">
        <v>0</v>
      </c>
      <c r="G844" s="142">
        <v>0</v>
      </c>
      <c r="H844" s="142">
        <v>0</v>
      </c>
      <c r="I844" s="154">
        <f>SUM(H844-G844)</f>
        <v>0</v>
      </c>
    </row>
    <row r="845" spans="1:11" ht="15" customHeight="1" thickBot="1" x14ac:dyDescent="0.25">
      <c r="A845" s="152">
        <v>231</v>
      </c>
      <c r="B845" s="152" t="s">
        <v>125</v>
      </c>
      <c r="C845" s="142">
        <v>0</v>
      </c>
      <c r="D845" s="142">
        <v>0</v>
      </c>
      <c r="E845" s="142">
        <v>0</v>
      </c>
      <c r="F845" s="142">
        <v>0</v>
      </c>
      <c r="G845" s="142">
        <v>0</v>
      </c>
      <c r="H845" s="142">
        <v>0</v>
      </c>
      <c r="I845" s="154">
        <f>SUM(H845-G845)</f>
        <v>0</v>
      </c>
    </row>
    <row r="846" spans="1:11" ht="15" customHeight="1" thickBot="1" x14ac:dyDescent="0.25">
      <c r="A846" s="152">
        <v>232</v>
      </c>
      <c r="B846" s="152" t="s">
        <v>75</v>
      </c>
      <c r="C846" s="142">
        <v>0</v>
      </c>
      <c r="D846" s="142">
        <v>0</v>
      </c>
      <c r="E846" s="142">
        <v>0</v>
      </c>
      <c r="F846" s="142">
        <v>0</v>
      </c>
      <c r="G846" s="142">
        <v>0</v>
      </c>
      <c r="H846" s="142">
        <v>0</v>
      </c>
      <c r="I846" s="154">
        <f>SUM(H846-G846)</f>
        <v>0</v>
      </c>
    </row>
    <row r="847" spans="1:11" ht="20.45" customHeight="1" thickBot="1" x14ac:dyDescent="0.25">
      <c r="A847" s="156" t="s">
        <v>35</v>
      </c>
      <c r="B847" s="157" t="s">
        <v>36</v>
      </c>
      <c r="C847" s="158">
        <f t="shared" ref="C847:H847" si="259">SUM(C844:C846)</f>
        <v>0</v>
      </c>
      <c r="D847" s="158">
        <f t="shared" si="259"/>
        <v>0</v>
      </c>
      <c r="E847" s="158">
        <f t="shared" si="259"/>
        <v>0</v>
      </c>
      <c r="F847" s="158">
        <f t="shared" si="259"/>
        <v>0</v>
      </c>
      <c r="G847" s="158">
        <f t="shared" si="259"/>
        <v>0</v>
      </c>
      <c r="H847" s="158">
        <f t="shared" si="259"/>
        <v>0</v>
      </c>
      <c r="I847" s="154">
        <f>SUM(H844-G846)</f>
        <v>0</v>
      </c>
    </row>
    <row r="848" spans="1:11" ht="13.5" thickBot="1" x14ac:dyDescent="0.25">
      <c r="A848" s="156" t="s">
        <v>37</v>
      </c>
      <c r="B848" s="160" t="s">
        <v>38</v>
      </c>
      <c r="C848" s="161">
        <v>0</v>
      </c>
      <c r="D848" s="161">
        <v>0</v>
      </c>
      <c r="E848" s="161">
        <v>0</v>
      </c>
      <c r="F848" s="161">
        <v>0</v>
      </c>
      <c r="G848" s="161">
        <v>0</v>
      </c>
      <c r="H848" s="161">
        <v>0</v>
      </c>
      <c r="I848" s="154">
        <f>SUM(H848-G848)</f>
        <v>0</v>
      </c>
    </row>
    <row r="849" spans="1:9" ht="13.5" thickBot="1" x14ac:dyDescent="0.25">
      <c r="A849" s="245" t="s">
        <v>77</v>
      </c>
      <c r="B849" s="246"/>
      <c r="C849" s="162">
        <f>C843+C839</f>
        <v>0</v>
      </c>
      <c r="D849" s="162">
        <f t="shared" ref="D849" si="260">D843+D839</f>
        <v>0</v>
      </c>
      <c r="E849" s="162">
        <f t="shared" ref="E849" si="261">E843+E839</f>
        <v>0</v>
      </c>
      <c r="F849" s="162">
        <f t="shared" ref="F849" si="262">F843+F839</f>
        <v>1223</v>
      </c>
      <c r="G849" s="162">
        <f t="shared" ref="G849" si="263">G843+G839</f>
        <v>1223</v>
      </c>
      <c r="H849" s="162">
        <f t="shared" ref="H849" si="264">H843+H839</f>
        <v>1122</v>
      </c>
      <c r="I849" s="163">
        <f>SUM(H849-G849)</f>
        <v>-101</v>
      </c>
    </row>
    <row r="851" spans="1:9" ht="19.149999999999999" customHeight="1" x14ac:dyDescent="0.2">
      <c r="A851" s="244" t="s">
        <v>66</v>
      </c>
      <c r="B851" s="164" t="s">
        <v>20</v>
      </c>
      <c r="C851" s="165" t="s">
        <v>302</v>
      </c>
      <c r="D851" s="244" t="s">
        <v>19</v>
      </c>
      <c r="E851" s="166" t="s">
        <v>283</v>
      </c>
    </row>
    <row r="852" spans="1:9" ht="21" customHeight="1" x14ac:dyDescent="0.2">
      <c r="A852" s="244"/>
      <c r="B852" s="164" t="s">
        <v>21</v>
      </c>
      <c r="C852" s="165"/>
      <c r="D852" s="244"/>
      <c r="E852" s="166"/>
    </row>
    <row r="853" spans="1:9" ht="22.9" customHeight="1" x14ac:dyDescent="0.2">
      <c r="A853" s="244"/>
      <c r="B853" s="164" t="s">
        <v>22</v>
      </c>
      <c r="C853" s="165" t="str">
        <f>C811</f>
        <v>08.02.2022</v>
      </c>
      <c r="D853" s="244"/>
      <c r="E853" s="166" t="str">
        <f>E811</f>
        <v>08.02.2022</v>
      </c>
    </row>
    <row r="859" spans="1:9" ht="15.75" customHeight="1" thickBot="1" x14ac:dyDescent="0.25">
      <c r="A859" s="136"/>
      <c r="B859" s="137"/>
      <c r="C859" s="138"/>
      <c r="D859" s="138"/>
      <c r="E859" s="138"/>
      <c r="F859" s="138"/>
      <c r="G859" s="138"/>
      <c r="H859" s="138"/>
      <c r="I859" s="130" t="s">
        <v>68</v>
      </c>
    </row>
    <row r="860" spans="1:9" ht="24.95" customHeight="1" thickBot="1" x14ac:dyDescent="0.25">
      <c r="A860" s="139" t="s">
        <v>25</v>
      </c>
      <c r="B860" s="140" t="s">
        <v>115</v>
      </c>
      <c r="C860" s="239"/>
      <c r="D860" s="239"/>
      <c r="E860" s="239"/>
      <c r="F860" s="239"/>
      <c r="G860" s="239"/>
      <c r="H860" s="141" t="s">
        <v>26</v>
      </c>
      <c r="I860" s="142">
        <v>2137001</v>
      </c>
    </row>
    <row r="861" spans="1:9" ht="24.95" customHeight="1" thickBot="1" x14ac:dyDescent="0.25">
      <c r="A861" s="30" t="s">
        <v>28</v>
      </c>
      <c r="B861" s="143" t="s">
        <v>112</v>
      </c>
      <c r="C861" s="239"/>
      <c r="D861" s="239"/>
      <c r="E861" s="239"/>
      <c r="F861" s="239"/>
      <c r="G861" s="239"/>
      <c r="H861" s="141" t="s">
        <v>69</v>
      </c>
      <c r="I861" s="142">
        <v>6210</v>
      </c>
    </row>
    <row r="862" spans="1:9" ht="24.95" customHeight="1" thickBot="1" x14ac:dyDescent="0.25">
      <c r="A862" s="127" t="s">
        <v>30</v>
      </c>
      <c r="B862" s="240" t="s">
        <v>17</v>
      </c>
      <c r="C862" s="145">
        <v>-1</v>
      </c>
      <c r="D862" s="145">
        <v>-2</v>
      </c>
      <c r="E862" s="145">
        <v>-3</v>
      </c>
      <c r="F862" s="146">
        <v>-4</v>
      </c>
      <c r="G862" s="146">
        <v>-5</v>
      </c>
      <c r="H862" s="146">
        <v>-6</v>
      </c>
      <c r="I862" s="146" t="s">
        <v>11</v>
      </c>
    </row>
    <row r="863" spans="1:9" ht="24.95" customHeight="1" x14ac:dyDescent="0.2">
      <c r="A863" s="127"/>
      <c r="B863" s="241"/>
      <c r="C863" s="148" t="s">
        <v>12</v>
      </c>
      <c r="D863" s="148" t="s">
        <v>13</v>
      </c>
      <c r="E863" s="148" t="s">
        <v>14</v>
      </c>
      <c r="F863" s="148" t="s">
        <v>14</v>
      </c>
      <c r="G863" s="148" t="s">
        <v>14</v>
      </c>
      <c r="H863" s="148" t="s">
        <v>31</v>
      </c>
      <c r="I863" s="126" t="s">
        <v>15</v>
      </c>
    </row>
    <row r="864" spans="1:9" ht="24.95" customHeight="1" x14ac:dyDescent="0.2">
      <c r="A864" s="127"/>
      <c r="B864" s="242"/>
      <c r="C864" s="128" t="s">
        <v>292</v>
      </c>
      <c r="D864" s="128" t="s">
        <v>293</v>
      </c>
      <c r="E864" s="128" t="s">
        <v>294</v>
      </c>
      <c r="F864" s="128" t="s">
        <v>116</v>
      </c>
      <c r="G864" s="150" t="s">
        <v>32</v>
      </c>
      <c r="H864" s="128" t="s">
        <v>33</v>
      </c>
      <c r="I864" s="128"/>
    </row>
    <row r="865" spans="1:9" ht="24.95" customHeight="1" thickBot="1" x14ac:dyDescent="0.25">
      <c r="A865" s="30"/>
      <c r="B865" s="243"/>
      <c r="C865" s="129"/>
      <c r="D865" s="30"/>
      <c r="E865" s="30"/>
      <c r="F865" s="30"/>
      <c r="G865" s="151"/>
      <c r="H865" s="129" t="s">
        <v>34</v>
      </c>
      <c r="I865" s="129"/>
    </row>
    <row r="866" spans="1:9" ht="15" customHeight="1" thickBot="1" x14ac:dyDescent="0.25">
      <c r="A866" s="152">
        <v>600</v>
      </c>
      <c r="B866" s="153" t="s">
        <v>117</v>
      </c>
      <c r="C866" s="142">
        <v>0</v>
      </c>
      <c r="D866" s="142">
        <v>0</v>
      </c>
      <c r="E866" s="142">
        <v>0</v>
      </c>
      <c r="F866" s="142">
        <v>0</v>
      </c>
      <c r="G866" s="142">
        <v>0</v>
      </c>
      <c r="H866" s="142">
        <v>0</v>
      </c>
      <c r="I866" s="154">
        <f t="shared" ref="I866:I875" si="265">SUM(H866-G866)</f>
        <v>0</v>
      </c>
    </row>
    <row r="867" spans="1:9" ht="15" customHeight="1" thickBot="1" x14ac:dyDescent="0.25">
      <c r="A867" s="152">
        <v>601</v>
      </c>
      <c r="B867" s="153" t="s">
        <v>118</v>
      </c>
      <c r="C867" s="142">
        <v>0</v>
      </c>
      <c r="D867" s="142">
        <v>0</v>
      </c>
      <c r="E867" s="142">
        <v>0</v>
      </c>
      <c r="F867" s="142">
        <v>0</v>
      </c>
      <c r="G867" s="142">
        <v>0</v>
      </c>
      <c r="H867" s="142">
        <v>0</v>
      </c>
      <c r="I867" s="154">
        <f t="shared" si="265"/>
        <v>0</v>
      </c>
    </row>
    <row r="868" spans="1:9" ht="15" customHeight="1" thickBot="1" x14ac:dyDescent="0.25">
      <c r="A868" s="152">
        <v>602</v>
      </c>
      <c r="B868" s="153" t="s">
        <v>119</v>
      </c>
      <c r="C868" s="142">
        <v>0</v>
      </c>
      <c r="D868" s="142">
        <v>0</v>
      </c>
      <c r="E868" s="142">
        <v>0</v>
      </c>
      <c r="F868" s="142">
        <v>0</v>
      </c>
      <c r="G868" s="142">
        <v>0</v>
      </c>
      <c r="H868" s="142">
        <v>0</v>
      </c>
      <c r="I868" s="154">
        <f t="shared" si="265"/>
        <v>0</v>
      </c>
    </row>
    <row r="869" spans="1:9" ht="15" customHeight="1" thickBot="1" x14ac:dyDescent="0.25">
      <c r="A869" s="152">
        <v>603</v>
      </c>
      <c r="B869" s="153" t="s">
        <v>120</v>
      </c>
      <c r="C869" s="142">
        <v>0</v>
      </c>
      <c r="D869" s="142">
        <v>0</v>
      </c>
      <c r="E869" s="142">
        <v>0</v>
      </c>
      <c r="F869" s="142">
        <v>0</v>
      </c>
      <c r="G869" s="142">
        <v>0</v>
      </c>
      <c r="H869" s="142">
        <v>0</v>
      </c>
      <c r="I869" s="154">
        <f t="shared" si="265"/>
        <v>0</v>
      </c>
    </row>
    <row r="870" spans="1:9" ht="15" customHeight="1" thickBot="1" x14ac:dyDescent="0.25">
      <c r="A870" s="152">
        <v>604</v>
      </c>
      <c r="B870" s="153" t="s">
        <v>121</v>
      </c>
      <c r="C870" s="142">
        <v>0</v>
      </c>
      <c r="D870" s="142">
        <v>0</v>
      </c>
      <c r="E870" s="142">
        <v>0</v>
      </c>
      <c r="F870" s="142">
        <v>0</v>
      </c>
      <c r="G870" s="142">
        <v>0</v>
      </c>
      <c r="H870" s="142">
        <v>0</v>
      </c>
      <c r="I870" s="154">
        <f t="shared" si="265"/>
        <v>0</v>
      </c>
    </row>
    <row r="871" spans="1:9" ht="15" customHeight="1" thickBot="1" x14ac:dyDescent="0.25">
      <c r="A871" s="152">
        <v>605</v>
      </c>
      <c r="B871" s="153" t="s">
        <v>122</v>
      </c>
      <c r="C871" s="142">
        <v>0</v>
      </c>
      <c r="D871" s="142">
        <v>0</v>
      </c>
      <c r="E871" s="142">
        <v>0</v>
      </c>
      <c r="F871" s="142">
        <v>0</v>
      </c>
      <c r="G871" s="142">
        <v>0</v>
      </c>
      <c r="H871" s="142">
        <v>0</v>
      </c>
      <c r="I871" s="154">
        <f t="shared" si="265"/>
        <v>0</v>
      </c>
    </row>
    <row r="872" spans="1:9" ht="15" customHeight="1" thickBot="1" x14ac:dyDescent="0.25">
      <c r="A872" s="152">
        <v>606</v>
      </c>
      <c r="B872" s="153" t="s">
        <v>70</v>
      </c>
      <c r="C872" s="142">
        <v>0</v>
      </c>
      <c r="D872" s="142">
        <v>0</v>
      </c>
      <c r="E872" s="142">
        <v>0</v>
      </c>
      <c r="F872" s="142">
        <v>0</v>
      </c>
      <c r="G872" s="142">
        <v>0</v>
      </c>
      <c r="H872" s="142">
        <v>0</v>
      </c>
      <c r="I872" s="154">
        <f t="shared" si="265"/>
        <v>0</v>
      </c>
    </row>
    <row r="873" spans="1:9" ht="15" customHeight="1" thickBot="1" x14ac:dyDescent="0.25">
      <c r="A873" s="152">
        <v>609</v>
      </c>
      <c r="B873" s="153" t="s">
        <v>123</v>
      </c>
      <c r="C873" s="142">
        <v>0</v>
      </c>
      <c r="D873" s="142">
        <v>0</v>
      </c>
      <c r="E873" s="142">
        <v>0</v>
      </c>
      <c r="F873" s="142">
        <v>0</v>
      </c>
      <c r="G873" s="142">
        <v>0</v>
      </c>
      <c r="H873" s="142">
        <v>0</v>
      </c>
      <c r="I873" s="154">
        <f t="shared" si="265"/>
        <v>0</v>
      </c>
    </row>
    <row r="874" spans="1:9" ht="15" customHeight="1" thickBot="1" x14ac:dyDescent="0.25">
      <c r="A874" s="152">
        <v>650</v>
      </c>
      <c r="B874" s="153" t="s">
        <v>124</v>
      </c>
      <c r="C874" s="142">
        <v>0</v>
      </c>
      <c r="D874" s="142">
        <v>0</v>
      </c>
      <c r="E874" s="142">
        <v>0</v>
      </c>
      <c r="F874" s="142">
        <v>0</v>
      </c>
      <c r="G874" s="142">
        <v>0</v>
      </c>
      <c r="H874" s="142">
        <v>0</v>
      </c>
      <c r="I874" s="154">
        <f t="shared" si="265"/>
        <v>0</v>
      </c>
    </row>
    <row r="875" spans="1:9" ht="15" customHeight="1" thickBot="1" x14ac:dyDescent="0.25">
      <c r="A875" s="152" t="s">
        <v>71</v>
      </c>
      <c r="B875" s="153" t="s">
        <v>72</v>
      </c>
      <c r="C875" s="142">
        <v>0</v>
      </c>
      <c r="D875" s="142">
        <v>0</v>
      </c>
      <c r="E875" s="142">
        <v>0</v>
      </c>
      <c r="F875" s="142">
        <v>0</v>
      </c>
      <c r="G875" s="142">
        <v>0</v>
      </c>
      <c r="H875" s="142">
        <v>0</v>
      </c>
      <c r="I875" s="154">
        <f t="shared" si="265"/>
        <v>0</v>
      </c>
    </row>
    <row r="876" spans="1:9" ht="26.25" thickBot="1" x14ac:dyDescent="0.25">
      <c r="A876" s="156" t="s">
        <v>35</v>
      </c>
      <c r="B876" s="157" t="s">
        <v>73</v>
      </c>
      <c r="C876" s="158">
        <f>SUM(C866:C875)</f>
        <v>0</v>
      </c>
      <c r="D876" s="158">
        <f t="shared" ref="D876" si="266">SUM(D866:D875)</f>
        <v>0</v>
      </c>
      <c r="E876" s="158">
        <f t="shared" ref="E876" si="267">SUM(E866:E875)</f>
        <v>0</v>
      </c>
      <c r="F876" s="158">
        <f t="shared" ref="F876" si="268">SUM(F866:F875)</f>
        <v>0</v>
      </c>
      <c r="G876" s="158">
        <f t="shared" ref="G876" si="269">SUM(G866:G875)</f>
        <v>0</v>
      </c>
      <c r="H876" s="158">
        <f t="shared" ref="H876" si="270">SUM(H866:H875)</f>
        <v>0</v>
      </c>
      <c r="I876" s="158">
        <f t="shared" ref="I876" si="271">SUM(I866:I875)</f>
        <v>0</v>
      </c>
    </row>
    <row r="877" spans="1:9" ht="15" customHeight="1" thickBot="1" x14ac:dyDescent="0.25">
      <c r="A877" s="152">
        <v>230</v>
      </c>
      <c r="B877" s="152" t="s">
        <v>74</v>
      </c>
      <c r="C877" s="142">
        <v>0</v>
      </c>
      <c r="D877" s="142">
        <v>0</v>
      </c>
      <c r="E877" s="142">
        <v>0</v>
      </c>
      <c r="F877" s="142">
        <v>0</v>
      </c>
      <c r="G877" s="142">
        <v>0</v>
      </c>
      <c r="H877" s="142">
        <v>0</v>
      </c>
      <c r="I877" s="154">
        <f>SUM(H877-G877)</f>
        <v>0</v>
      </c>
    </row>
    <row r="878" spans="1:9" ht="15" customHeight="1" thickBot="1" x14ac:dyDescent="0.25">
      <c r="A878" s="152">
        <v>231</v>
      </c>
      <c r="B878" s="152" t="s">
        <v>125</v>
      </c>
      <c r="C878" s="142">
        <v>7038</v>
      </c>
      <c r="D878" s="142">
        <v>0</v>
      </c>
      <c r="E878" s="142">
        <v>0</v>
      </c>
      <c r="F878" s="142">
        <v>1948</v>
      </c>
      <c r="G878" s="142">
        <v>1948</v>
      </c>
      <c r="H878" s="142">
        <v>1948</v>
      </c>
      <c r="I878" s="154">
        <f>SUM(H878-G878)</f>
        <v>0</v>
      </c>
    </row>
    <row r="879" spans="1:9" ht="15" customHeight="1" thickBot="1" x14ac:dyDescent="0.25">
      <c r="A879" s="152">
        <v>232</v>
      </c>
      <c r="B879" s="152" t="s">
        <v>75</v>
      </c>
      <c r="C879" s="142">
        <v>0</v>
      </c>
      <c r="D879" s="142">
        <v>0</v>
      </c>
      <c r="E879" s="142">
        <v>0</v>
      </c>
      <c r="F879" s="142">
        <v>0</v>
      </c>
      <c r="G879" s="142">
        <v>0</v>
      </c>
      <c r="H879" s="142">
        <v>0</v>
      </c>
      <c r="I879" s="154">
        <f>SUM(H879-G879)</f>
        <v>0</v>
      </c>
    </row>
    <row r="880" spans="1:9" ht="21" customHeight="1" thickBot="1" x14ac:dyDescent="0.25">
      <c r="A880" s="156" t="s">
        <v>35</v>
      </c>
      <c r="B880" s="157" t="s">
        <v>76</v>
      </c>
      <c r="C880" s="158">
        <f t="shared" ref="C880:H880" si="272">SUM(C877:C879)</f>
        <v>7038</v>
      </c>
      <c r="D880" s="158">
        <f t="shared" si="272"/>
        <v>0</v>
      </c>
      <c r="E880" s="158">
        <f t="shared" si="272"/>
        <v>0</v>
      </c>
      <c r="F880" s="158">
        <f t="shared" si="272"/>
        <v>1948</v>
      </c>
      <c r="G880" s="158">
        <f t="shared" si="272"/>
        <v>1948</v>
      </c>
      <c r="H880" s="158">
        <f t="shared" si="272"/>
        <v>1948</v>
      </c>
      <c r="I880" s="154">
        <f>SUM(H877-G879)</f>
        <v>0</v>
      </c>
    </row>
    <row r="881" spans="1:9" ht="15" customHeight="1" thickBot="1" x14ac:dyDescent="0.25">
      <c r="A881" s="152">
        <v>230</v>
      </c>
      <c r="B881" s="152" t="s">
        <v>74</v>
      </c>
      <c r="C881" s="142">
        <v>0</v>
      </c>
      <c r="D881" s="142">
        <v>0</v>
      </c>
      <c r="E881" s="142">
        <v>0</v>
      </c>
      <c r="F881" s="142">
        <v>0</v>
      </c>
      <c r="G881" s="142">
        <v>0</v>
      </c>
      <c r="H881" s="142">
        <v>0</v>
      </c>
      <c r="I881" s="154">
        <f>SUM(H881-G881)</f>
        <v>0</v>
      </c>
    </row>
    <row r="882" spans="1:9" ht="15" customHeight="1" thickBot="1" x14ac:dyDescent="0.25">
      <c r="A882" s="152">
        <v>231</v>
      </c>
      <c r="B882" s="152" t="s">
        <v>125</v>
      </c>
      <c r="C882" s="142">
        <v>0</v>
      </c>
      <c r="D882" s="142">
        <v>0</v>
      </c>
      <c r="E882" s="142">
        <v>0</v>
      </c>
      <c r="F882" s="142">
        <v>0</v>
      </c>
      <c r="G882" s="142">
        <v>0</v>
      </c>
      <c r="H882" s="142">
        <v>0</v>
      </c>
      <c r="I882" s="154">
        <f>SUM(H882-G882)</f>
        <v>0</v>
      </c>
    </row>
    <row r="883" spans="1:9" ht="15" customHeight="1" thickBot="1" x14ac:dyDescent="0.25">
      <c r="A883" s="152">
        <v>232</v>
      </c>
      <c r="B883" s="152" t="s">
        <v>75</v>
      </c>
      <c r="C883" s="142">
        <v>0</v>
      </c>
      <c r="D883" s="142">
        <v>0</v>
      </c>
      <c r="E883" s="142">
        <v>0</v>
      </c>
      <c r="F883" s="142">
        <v>0</v>
      </c>
      <c r="G883" s="142">
        <v>0</v>
      </c>
      <c r="H883" s="142">
        <v>0</v>
      </c>
      <c r="I883" s="154">
        <f>SUM(H883-G883)</f>
        <v>0</v>
      </c>
    </row>
    <row r="884" spans="1:9" ht="20.45" customHeight="1" thickBot="1" x14ac:dyDescent="0.25">
      <c r="A884" s="156" t="s">
        <v>35</v>
      </c>
      <c r="B884" s="157" t="s">
        <v>36</v>
      </c>
      <c r="C884" s="158">
        <f t="shared" ref="C884:H884" si="273">SUM(C881:C883)</f>
        <v>0</v>
      </c>
      <c r="D884" s="158">
        <f t="shared" si="273"/>
        <v>0</v>
      </c>
      <c r="E884" s="158">
        <f t="shared" si="273"/>
        <v>0</v>
      </c>
      <c r="F884" s="158">
        <f t="shared" si="273"/>
        <v>0</v>
      </c>
      <c r="G884" s="158">
        <f t="shared" si="273"/>
        <v>0</v>
      </c>
      <c r="H884" s="158">
        <f t="shared" si="273"/>
        <v>0</v>
      </c>
      <c r="I884" s="154">
        <f>SUM(H881-G883)</f>
        <v>0</v>
      </c>
    </row>
    <row r="885" spans="1:9" ht="13.5" thickBot="1" x14ac:dyDescent="0.25">
      <c r="A885" s="156" t="s">
        <v>37</v>
      </c>
      <c r="B885" s="160" t="s">
        <v>38</v>
      </c>
      <c r="C885" s="161">
        <f>C880</f>
        <v>7038</v>
      </c>
      <c r="D885" s="161">
        <f t="shared" ref="D885" si="274">D880</f>
        <v>0</v>
      </c>
      <c r="E885" s="161">
        <f t="shared" ref="E885" si="275">E880</f>
        <v>0</v>
      </c>
      <c r="F885" s="161">
        <f t="shared" ref="F885" si="276">F880</f>
        <v>1948</v>
      </c>
      <c r="G885" s="161">
        <f t="shared" ref="G885" si="277">G880</f>
        <v>1948</v>
      </c>
      <c r="H885" s="161">
        <f t="shared" ref="H885" si="278">H880</f>
        <v>1948</v>
      </c>
      <c r="I885" s="154">
        <f>SUM(H885-G885)</f>
        <v>0</v>
      </c>
    </row>
    <row r="886" spans="1:9" ht="13.5" thickBot="1" x14ac:dyDescent="0.25">
      <c r="A886" s="245" t="s">
        <v>77</v>
      </c>
      <c r="B886" s="246"/>
      <c r="C886" s="162">
        <f>C885+C876</f>
        <v>7038</v>
      </c>
      <c r="D886" s="162">
        <f t="shared" ref="D886" si="279">D885+D876</f>
        <v>0</v>
      </c>
      <c r="E886" s="162">
        <f t="shared" ref="E886" si="280">E885+E876</f>
        <v>0</v>
      </c>
      <c r="F886" s="162">
        <f t="shared" ref="F886" si="281">F885+F876</f>
        <v>1948</v>
      </c>
      <c r="G886" s="162">
        <f t="shared" ref="G886" si="282">G885+G876</f>
        <v>1948</v>
      </c>
      <c r="H886" s="162">
        <f t="shared" ref="H886" si="283">H885+H876</f>
        <v>1948</v>
      </c>
      <c r="I886" s="163">
        <f>SUM(H886-G886)</f>
        <v>0</v>
      </c>
    </row>
    <row r="888" spans="1:9" ht="19.149999999999999" customHeight="1" x14ac:dyDescent="0.2">
      <c r="A888" s="244" t="s">
        <v>66</v>
      </c>
      <c r="B888" s="164" t="s">
        <v>20</v>
      </c>
      <c r="C888" s="165" t="s">
        <v>302</v>
      </c>
      <c r="D888" s="244" t="s">
        <v>19</v>
      </c>
      <c r="E888" s="166" t="s">
        <v>283</v>
      </c>
    </row>
    <row r="889" spans="1:9" ht="21" customHeight="1" x14ac:dyDescent="0.2">
      <c r="A889" s="244"/>
      <c r="B889" s="164" t="s">
        <v>21</v>
      </c>
      <c r="C889" s="165"/>
      <c r="D889" s="244"/>
      <c r="E889" s="166"/>
    </row>
    <row r="890" spans="1:9" ht="22.9" customHeight="1" x14ac:dyDescent="0.2">
      <c r="A890" s="244"/>
      <c r="B890" s="164" t="s">
        <v>22</v>
      </c>
      <c r="C890" s="165" t="str">
        <f>C853</f>
        <v>08.02.2022</v>
      </c>
      <c r="D890" s="244"/>
      <c r="E890" s="166" t="str">
        <f>E853</f>
        <v>08.02.2022</v>
      </c>
    </row>
    <row r="902" spans="1:9" ht="24.95" customHeight="1" thickBot="1" x14ac:dyDescent="0.25">
      <c r="A902" s="136"/>
      <c r="B902" s="137"/>
      <c r="C902" s="138"/>
      <c r="D902" s="138"/>
      <c r="E902" s="138"/>
      <c r="F902" s="138"/>
      <c r="G902" s="138"/>
      <c r="H902" s="138"/>
      <c r="I902" s="130" t="s">
        <v>68</v>
      </c>
    </row>
    <row r="903" spans="1:9" ht="24.95" customHeight="1" thickBot="1" x14ac:dyDescent="0.25">
      <c r="A903" s="139" t="s">
        <v>25</v>
      </c>
      <c r="B903" s="140" t="s">
        <v>115</v>
      </c>
      <c r="C903" s="239"/>
      <c r="D903" s="239"/>
      <c r="E903" s="239"/>
      <c r="F903" s="239"/>
      <c r="G903" s="239"/>
      <c r="H903" s="141" t="s">
        <v>26</v>
      </c>
      <c r="I903" s="142" t="s">
        <v>27</v>
      </c>
    </row>
    <row r="904" spans="1:9" ht="24.95" customHeight="1" thickBot="1" x14ac:dyDescent="0.25">
      <c r="A904" s="30" t="s">
        <v>28</v>
      </c>
      <c r="B904" s="143" t="s">
        <v>113</v>
      </c>
      <c r="C904" s="239"/>
      <c r="D904" s="239"/>
      <c r="E904" s="239"/>
      <c r="F904" s="239"/>
      <c r="G904" s="239"/>
      <c r="H904" s="141" t="s">
        <v>69</v>
      </c>
      <c r="I904" s="142">
        <v>10430</v>
      </c>
    </row>
    <row r="905" spans="1:9" ht="24.95" customHeight="1" thickBot="1" x14ac:dyDescent="0.25">
      <c r="A905" s="127" t="s">
        <v>30</v>
      </c>
      <c r="B905" s="240" t="s">
        <v>17</v>
      </c>
      <c r="C905" s="145">
        <v>-1</v>
      </c>
      <c r="D905" s="145">
        <v>-2</v>
      </c>
      <c r="E905" s="145">
        <v>-3</v>
      </c>
      <c r="F905" s="146">
        <v>-4</v>
      </c>
      <c r="G905" s="146">
        <v>-5</v>
      </c>
      <c r="H905" s="146">
        <v>-6</v>
      </c>
      <c r="I905" s="146" t="s">
        <v>11</v>
      </c>
    </row>
    <row r="906" spans="1:9" ht="24.95" customHeight="1" x14ac:dyDescent="0.2">
      <c r="A906" s="127"/>
      <c r="B906" s="241"/>
      <c r="C906" s="148" t="s">
        <v>12</v>
      </c>
      <c r="D906" s="148" t="s">
        <v>13</v>
      </c>
      <c r="E906" s="148" t="s">
        <v>14</v>
      </c>
      <c r="F906" s="148" t="s">
        <v>14</v>
      </c>
      <c r="G906" s="148" t="s">
        <v>14</v>
      </c>
      <c r="H906" s="148" t="s">
        <v>31</v>
      </c>
      <c r="I906" s="126" t="s">
        <v>15</v>
      </c>
    </row>
    <row r="907" spans="1:9" ht="24.95" customHeight="1" x14ac:dyDescent="0.2">
      <c r="A907" s="127"/>
      <c r="B907" s="242"/>
      <c r="C907" s="128" t="s">
        <v>292</v>
      </c>
      <c r="D907" s="128" t="s">
        <v>293</v>
      </c>
      <c r="E907" s="128" t="s">
        <v>294</v>
      </c>
      <c r="F907" s="128" t="s">
        <v>116</v>
      </c>
      <c r="G907" s="150" t="s">
        <v>32</v>
      </c>
      <c r="H907" s="128" t="s">
        <v>33</v>
      </c>
      <c r="I907" s="128"/>
    </row>
    <row r="908" spans="1:9" ht="24.95" customHeight="1" thickBot="1" x14ac:dyDescent="0.25">
      <c r="A908" s="30"/>
      <c r="B908" s="243"/>
      <c r="C908" s="129"/>
      <c r="D908" s="30"/>
      <c r="E908" s="30"/>
      <c r="F908" s="30"/>
      <c r="G908" s="151"/>
      <c r="H908" s="129" t="s">
        <v>34</v>
      </c>
      <c r="I908" s="129"/>
    </row>
    <row r="909" spans="1:9" ht="15" customHeight="1" thickBot="1" x14ac:dyDescent="0.25">
      <c r="A909" s="152">
        <v>600</v>
      </c>
      <c r="B909" s="153" t="s">
        <v>117</v>
      </c>
      <c r="C909" s="142">
        <f>3139+918</f>
        <v>4057</v>
      </c>
      <c r="D909" s="159">
        <f>3500+720</f>
        <v>4220</v>
      </c>
      <c r="E909" s="159">
        <f t="shared" ref="E909" si="284">3500+720</f>
        <v>4220</v>
      </c>
      <c r="F909" s="142">
        <f>3700+920+1155</f>
        <v>5775</v>
      </c>
      <c r="G909" s="142">
        <f>3700+920+1155</f>
        <v>5775</v>
      </c>
      <c r="H909" s="142">
        <f>3699+642+1025</f>
        <v>5366</v>
      </c>
      <c r="I909" s="154">
        <f t="shared" ref="I909:I922" si="285">SUM(H909-G909)</f>
        <v>-409</v>
      </c>
    </row>
    <row r="910" spans="1:9" ht="15" customHeight="1" thickBot="1" x14ac:dyDescent="0.25">
      <c r="A910" s="152">
        <v>601</v>
      </c>
      <c r="B910" s="153" t="s">
        <v>118</v>
      </c>
      <c r="C910" s="142">
        <v>671</v>
      </c>
      <c r="D910" s="159">
        <f>683+97</f>
        <v>780</v>
      </c>
      <c r="E910" s="159">
        <f t="shared" ref="E910" si="286">683+97</f>
        <v>780</v>
      </c>
      <c r="F910" s="142">
        <f>683+97</f>
        <v>780</v>
      </c>
      <c r="G910" s="142">
        <f>683+97</f>
        <v>780</v>
      </c>
      <c r="H910" s="142">
        <f>683+39</f>
        <v>722</v>
      </c>
      <c r="I910" s="154">
        <f t="shared" si="285"/>
        <v>-58</v>
      </c>
    </row>
    <row r="911" spans="1:9" ht="15" customHeight="1" thickBot="1" x14ac:dyDescent="0.25">
      <c r="A911" s="152">
        <v>602</v>
      </c>
      <c r="B911" s="153" t="s">
        <v>119</v>
      </c>
      <c r="C911" s="142">
        <f>231+125</f>
        <v>356</v>
      </c>
      <c r="D911" s="159">
        <v>654</v>
      </c>
      <c r="E911" s="159">
        <v>654</v>
      </c>
      <c r="F911" s="142">
        <f>354+300+1084</f>
        <v>1738</v>
      </c>
      <c r="G911" s="142">
        <f>354+300+1084</f>
        <v>1738</v>
      </c>
      <c r="H911" s="142">
        <f>82+261+297</f>
        <v>640</v>
      </c>
      <c r="I911" s="154">
        <f t="shared" si="285"/>
        <v>-1098</v>
      </c>
    </row>
    <row r="912" spans="1:9" ht="15" customHeight="1" thickBot="1" x14ac:dyDescent="0.25">
      <c r="A912" s="152">
        <v>603</v>
      </c>
      <c r="B912" s="153" t="s">
        <v>120</v>
      </c>
      <c r="C912" s="142">
        <v>0</v>
      </c>
      <c r="D912" s="159">
        <v>0</v>
      </c>
      <c r="E912" s="159">
        <v>0</v>
      </c>
      <c r="F912" s="142"/>
      <c r="G912" s="142"/>
      <c r="H912" s="142"/>
      <c r="I912" s="154">
        <f t="shared" si="285"/>
        <v>0</v>
      </c>
    </row>
    <row r="913" spans="1:9" ht="15" customHeight="1" thickBot="1" x14ac:dyDescent="0.25">
      <c r="A913" s="152">
        <v>604</v>
      </c>
      <c r="B913" s="153" t="s">
        <v>121</v>
      </c>
      <c r="C913" s="142">
        <v>0</v>
      </c>
      <c r="D913" s="159">
        <v>0</v>
      </c>
      <c r="E913" s="159">
        <v>0</v>
      </c>
      <c r="F913" s="142"/>
      <c r="G913" s="142"/>
      <c r="H913" s="142"/>
      <c r="I913" s="154">
        <f t="shared" si="285"/>
        <v>0</v>
      </c>
    </row>
    <row r="914" spans="1:9" ht="15" customHeight="1" thickBot="1" x14ac:dyDescent="0.25">
      <c r="A914" s="152">
        <v>605</v>
      </c>
      <c r="B914" s="153" t="s">
        <v>122</v>
      </c>
      <c r="C914" s="142">
        <v>0</v>
      </c>
      <c r="D914" s="159">
        <v>0</v>
      </c>
      <c r="E914" s="159">
        <v>0</v>
      </c>
      <c r="F914" s="142"/>
      <c r="G914" s="142"/>
      <c r="H914" s="142"/>
      <c r="I914" s="154">
        <f t="shared" si="285"/>
        <v>0</v>
      </c>
    </row>
    <row r="915" spans="1:9" ht="15" customHeight="1" thickBot="1" x14ac:dyDescent="0.25">
      <c r="A915" s="152">
        <v>606</v>
      </c>
      <c r="B915" s="153" t="s">
        <v>70</v>
      </c>
      <c r="C915" s="142">
        <v>34939</v>
      </c>
      <c r="D915" s="159">
        <v>35078</v>
      </c>
      <c r="E915" s="159">
        <v>35078</v>
      </c>
      <c r="F915" s="142">
        <f>111888-71147</f>
        <v>40741</v>
      </c>
      <c r="G915" s="142">
        <f>111888-71147</f>
        <v>40741</v>
      </c>
      <c r="H915" s="142">
        <f>110125-70655</f>
        <v>39470</v>
      </c>
      <c r="I915" s="154">
        <f t="shared" si="285"/>
        <v>-1271</v>
      </c>
    </row>
    <row r="916" spans="1:9" ht="15" customHeight="1" thickBot="1" x14ac:dyDescent="0.25">
      <c r="A916" s="152">
        <v>609</v>
      </c>
      <c r="B916" s="153" t="s">
        <v>123</v>
      </c>
      <c r="C916" s="142">
        <v>0</v>
      </c>
      <c r="D916" s="159">
        <v>0</v>
      </c>
      <c r="E916" s="159">
        <v>0</v>
      </c>
      <c r="F916" s="142"/>
      <c r="G916" s="142"/>
      <c r="H916" s="142"/>
      <c r="I916" s="154">
        <f t="shared" si="285"/>
        <v>0</v>
      </c>
    </row>
    <row r="917" spans="1:9" ht="15" customHeight="1" thickBot="1" x14ac:dyDescent="0.25">
      <c r="A917" s="152">
        <v>650</v>
      </c>
      <c r="B917" s="153" t="s">
        <v>124</v>
      </c>
      <c r="C917" s="142">
        <v>0</v>
      </c>
      <c r="D917" s="159">
        <v>0</v>
      </c>
      <c r="E917" s="159">
        <v>0</v>
      </c>
      <c r="F917" s="142">
        <v>0</v>
      </c>
      <c r="G917" s="142">
        <v>0</v>
      </c>
      <c r="H917" s="142">
        <v>0</v>
      </c>
      <c r="I917" s="154">
        <f t="shared" si="285"/>
        <v>0</v>
      </c>
    </row>
    <row r="918" spans="1:9" ht="15" customHeight="1" thickBot="1" x14ac:dyDescent="0.25">
      <c r="A918" s="152" t="s">
        <v>71</v>
      </c>
      <c r="B918" s="153" t="s">
        <v>72</v>
      </c>
      <c r="C918" s="142">
        <v>0</v>
      </c>
      <c r="D918" s="159">
        <v>0</v>
      </c>
      <c r="E918" s="159">
        <v>0</v>
      </c>
      <c r="F918" s="142">
        <v>0</v>
      </c>
      <c r="G918" s="142">
        <v>0</v>
      </c>
      <c r="H918" s="142">
        <v>0</v>
      </c>
      <c r="I918" s="154">
        <f t="shared" si="285"/>
        <v>0</v>
      </c>
    </row>
    <row r="919" spans="1:9" ht="26.25" thickBot="1" x14ac:dyDescent="0.25">
      <c r="A919" s="156" t="s">
        <v>35</v>
      </c>
      <c r="B919" s="157" t="s">
        <v>73</v>
      </c>
      <c r="C919" s="158">
        <f t="shared" ref="C919:H919" si="287">SUM(C909:C918)</f>
        <v>40023</v>
      </c>
      <c r="D919" s="158">
        <f t="shared" si="287"/>
        <v>40732</v>
      </c>
      <c r="E919" s="158">
        <f t="shared" si="287"/>
        <v>40732</v>
      </c>
      <c r="F919" s="158">
        <f t="shared" si="287"/>
        <v>49034</v>
      </c>
      <c r="G919" s="158">
        <f t="shared" si="287"/>
        <v>49034</v>
      </c>
      <c r="H919" s="158">
        <f t="shared" si="287"/>
        <v>46198</v>
      </c>
      <c r="I919" s="154">
        <f t="shared" si="285"/>
        <v>-2836</v>
      </c>
    </row>
    <row r="920" spans="1:9" ht="15" customHeight="1" thickBot="1" x14ac:dyDescent="0.25">
      <c r="A920" s="152">
        <v>230</v>
      </c>
      <c r="B920" s="152" t="s">
        <v>74</v>
      </c>
      <c r="C920" s="142">
        <v>0</v>
      </c>
      <c r="D920" s="142">
        <v>0</v>
      </c>
      <c r="E920" s="142">
        <v>0</v>
      </c>
      <c r="F920" s="142">
        <v>0</v>
      </c>
      <c r="G920" s="142">
        <v>0</v>
      </c>
      <c r="H920" s="142">
        <v>0</v>
      </c>
      <c r="I920" s="154">
        <f t="shared" si="285"/>
        <v>0</v>
      </c>
    </row>
    <row r="921" spans="1:9" ht="15" customHeight="1" thickBot="1" x14ac:dyDescent="0.25">
      <c r="A921" s="152">
        <v>231</v>
      </c>
      <c r="B921" s="152" t="s">
        <v>125</v>
      </c>
      <c r="C921" s="142">
        <v>0</v>
      </c>
      <c r="D921" s="142">
        <v>0</v>
      </c>
      <c r="E921" s="142">
        <v>0</v>
      </c>
      <c r="F921" s="142">
        <v>1709</v>
      </c>
      <c r="G921" s="142">
        <v>1709</v>
      </c>
      <c r="H921" s="142">
        <v>1022</v>
      </c>
      <c r="I921" s="154">
        <f t="shared" si="285"/>
        <v>-687</v>
      </c>
    </row>
    <row r="922" spans="1:9" ht="15" customHeight="1" thickBot="1" x14ac:dyDescent="0.25">
      <c r="A922" s="152">
        <v>232</v>
      </c>
      <c r="B922" s="152" t="s">
        <v>75</v>
      </c>
      <c r="C922" s="142">
        <v>0</v>
      </c>
      <c r="D922" s="142">
        <v>0</v>
      </c>
      <c r="E922" s="142">
        <v>0</v>
      </c>
      <c r="F922" s="142">
        <v>0</v>
      </c>
      <c r="G922" s="142">
        <v>0</v>
      </c>
      <c r="H922" s="142">
        <v>0</v>
      </c>
      <c r="I922" s="154">
        <f t="shared" si="285"/>
        <v>0</v>
      </c>
    </row>
    <row r="923" spans="1:9" ht="21" customHeight="1" thickBot="1" x14ac:dyDescent="0.25">
      <c r="A923" s="156" t="s">
        <v>35</v>
      </c>
      <c r="B923" s="157" t="s">
        <v>76</v>
      </c>
      <c r="C923" s="158">
        <f t="shared" ref="C923:H923" si="288">SUM(C920:C922)</f>
        <v>0</v>
      </c>
      <c r="D923" s="158">
        <f t="shared" si="288"/>
        <v>0</v>
      </c>
      <c r="E923" s="158">
        <f t="shared" si="288"/>
        <v>0</v>
      </c>
      <c r="F923" s="158">
        <f t="shared" si="288"/>
        <v>1709</v>
      </c>
      <c r="G923" s="158">
        <f t="shared" si="288"/>
        <v>1709</v>
      </c>
      <c r="H923" s="158">
        <f t="shared" si="288"/>
        <v>1022</v>
      </c>
      <c r="I923" s="154">
        <f>SUM(H920-G922)</f>
        <v>0</v>
      </c>
    </row>
    <row r="924" spans="1:9" ht="15" customHeight="1" thickBot="1" x14ac:dyDescent="0.25">
      <c r="A924" s="152">
        <v>230</v>
      </c>
      <c r="B924" s="152" t="s">
        <v>74</v>
      </c>
      <c r="C924" s="142">
        <v>0</v>
      </c>
      <c r="D924" s="142">
        <v>0</v>
      </c>
      <c r="E924" s="142">
        <v>0</v>
      </c>
      <c r="F924" s="142">
        <v>0</v>
      </c>
      <c r="G924" s="142">
        <v>0</v>
      </c>
      <c r="H924" s="142">
        <v>0</v>
      </c>
      <c r="I924" s="154">
        <f>SUM(H924-G924)</f>
        <v>0</v>
      </c>
    </row>
    <row r="925" spans="1:9" ht="15" customHeight="1" thickBot="1" x14ac:dyDescent="0.25">
      <c r="A925" s="152">
        <v>231</v>
      </c>
      <c r="B925" s="152" t="s">
        <v>125</v>
      </c>
      <c r="C925" s="142">
        <v>0</v>
      </c>
      <c r="D925" s="142">
        <v>0</v>
      </c>
      <c r="E925" s="142">
        <v>0</v>
      </c>
      <c r="F925" s="142">
        <v>0</v>
      </c>
      <c r="G925" s="142">
        <v>0</v>
      </c>
      <c r="H925" s="142">
        <v>0</v>
      </c>
      <c r="I925" s="154">
        <f>SUM(H925-G925)</f>
        <v>0</v>
      </c>
    </row>
    <row r="926" spans="1:9" ht="15" customHeight="1" thickBot="1" x14ac:dyDescent="0.25">
      <c r="A926" s="152">
        <v>232</v>
      </c>
      <c r="B926" s="152" t="s">
        <v>75</v>
      </c>
      <c r="C926" s="142">
        <v>0</v>
      </c>
      <c r="D926" s="142">
        <v>0</v>
      </c>
      <c r="E926" s="142">
        <v>0</v>
      </c>
      <c r="F926" s="142">
        <v>0</v>
      </c>
      <c r="G926" s="142">
        <v>0</v>
      </c>
      <c r="H926" s="142">
        <v>0</v>
      </c>
      <c r="I926" s="154">
        <f>SUM(H926-G926)</f>
        <v>0</v>
      </c>
    </row>
    <row r="927" spans="1:9" ht="20.45" customHeight="1" thickBot="1" x14ac:dyDescent="0.25">
      <c r="A927" s="156" t="s">
        <v>35</v>
      </c>
      <c r="B927" s="157" t="s">
        <v>36</v>
      </c>
      <c r="C927" s="158">
        <f t="shared" ref="C927:H927" si="289">SUM(C924:C926)</f>
        <v>0</v>
      </c>
      <c r="D927" s="158">
        <f t="shared" si="289"/>
        <v>0</v>
      </c>
      <c r="E927" s="158">
        <f t="shared" si="289"/>
        <v>0</v>
      </c>
      <c r="F927" s="158">
        <f t="shared" si="289"/>
        <v>0</v>
      </c>
      <c r="G927" s="158">
        <f t="shared" si="289"/>
        <v>0</v>
      </c>
      <c r="H927" s="158">
        <f t="shared" si="289"/>
        <v>0</v>
      </c>
      <c r="I927" s="154">
        <f>SUM(H924-G926)</f>
        <v>0</v>
      </c>
    </row>
    <row r="928" spans="1:9" ht="13.5" thickBot="1" x14ac:dyDescent="0.25">
      <c r="A928" s="156" t="s">
        <v>37</v>
      </c>
      <c r="B928" s="160" t="s">
        <v>38</v>
      </c>
      <c r="C928" s="161">
        <v>0</v>
      </c>
      <c r="D928" s="161">
        <v>0</v>
      </c>
      <c r="E928" s="161">
        <v>0</v>
      </c>
      <c r="F928" s="161">
        <v>0</v>
      </c>
      <c r="G928" s="161">
        <v>0</v>
      </c>
      <c r="H928" s="161">
        <v>0</v>
      </c>
      <c r="I928" s="154">
        <f>SUM(H928-G928)</f>
        <v>0</v>
      </c>
    </row>
    <row r="929" spans="1:9" ht="13.5" thickBot="1" x14ac:dyDescent="0.25">
      <c r="A929" s="245" t="s">
        <v>77</v>
      </c>
      <c r="B929" s="246"/>
      <c r="C929" s="162">
        <f t="shared" ref="C929:I929" si="290">C919+C923</f>
        <v>40023</v>
      </c>
      <c r="D929" s="162">
        <f t="shared" si="290"/>
        <v>40732</v>
      </c>
      <c r="E929" s="162">
        <f t="shared" si="290"/>
        <v>40732</v>
      </c>
      <c r="F929" s="162">
        <f t="shared" si="290"/>
        <v>50743</v>
      </c>
      <c r="G929" s="162">
        <f t="shared" si="290"/>
        <v>50743</v>
      </c>
      <c r="H929" s="162">
        <f t="shared" si="290"/>
        <v>47220</v>
      </c>
      <c r="I929" s="162">
        <f t="shared" si="290"/>
        <v>-2836</v>
      </c>
    </row>
    <row r="931" spans="1:9" ht="19.149999999999999" customHeight="1" x14ac:dyDescent="0.2">
      <c r="A931" s="244" t="s">
        <v>66</v>
      </c>
      <c r="B931" s="164" t="s">
        <v>20</v>
      </c>
      <c r="C931" s="165" t="s">
        <v>302</v>
      </c>
      <c r="D931" s="244" t="s">
        <v>19</v>
      </c>
      <c r="E931" s="166" t="s">
        <v>283</v>
      </c>
    </row>
    <row r="932" spans="1:9" ht="21" customHeight="1" x14ac:dyDescent="0.2">
      <c r="A932" s="244"/>
      <c r="B932" s="164" t="s">
        <v>21</v>
      </c>
      <c r="C932" s="165"/>
      <c r="D932" s="244"/>
      <c r="E932" s="166"/>
    </row>
    <row r="933" spans="1:9" ht="22.9" customHeight="1" x14ac:dyDescent="0.2">
      <c r="A933" s="244"/>
      <c r="B933" s="164" t="s">
        <v>22</v>
      </c>
      <c r="C933" s="165" t="str">
        <f>C890</f>
        <v>08.02.2022</v>
      </c>
      <c r="D933" s="244"/>
      <c r="E933" s="166" t="str">
        <f>E890</f>
        <v>08.02.2022</v>
      </c>
    </row>
    <row r="944" spans="1:9" ht="24.95" customHeight="1" thickBot="1" x14ac:dyDescent="0.25">
      <c r="A944" s="136"/>
      <c r="B944" s="137"/>
      <c r="C944" s="138"/>
      <c r="D944" s="138"/>
      <c r="E944" s="138"/>
      <c r="F944" s="138"/>
      <c r="G944" s="138"/>
      <c r="H944" s="138"/>
      <c r="I944" s="130" t="s">
        <v>68</v>
      </c>
    </row>
    <row r="945" spans="1:9" ht="24.95" customHeight="1" thickBot="1" x14ac:dyDescent="0.25">
      <c r="A945" s="139" t="s">
        <v>25</v>
      </c>
      <c r="B945" s="140" t="s">
        <v>115</v>
      </c>
      <c r="C945" s="239"/>
      <c r="D945" s="239"/>
      <c r="E945" s="239"/>
      <c r="F945" s="239"/>
      <c r="G945" s="239"/>
      <c r="H945" s="141" t="s">
        <v>26</v>
      </c>
      <c r="I945" s="142">
        <v>2137001</v>
      </c>
    </row>
    <row r="946" spans="1:9" ht="24.95" customHeight="1" thickBot="1" x14ac:dyDescent="0.25">
      <c r="A946" s="30" t="s">
        <v>28</v>
      </c>
      <c r="B946" s="143" t="s">
        <v>114</v>
      </c>
      <c r="C946" s="239"/>
      <c r="D946" s="239"/>
      <c r="E946" s="239"/>
      <c r="F946" s="239"/>
      <c r="G946" s="239"/>
      <c r="H946" s="141" t="s">
        <v>69</v>
      </c>
      <c r="I946" s="142">
        <v>3600</v>
      </c>
    </row>
    <row r="947" spans="1:9" ht="24.95" customHeight="1" thickBot="1" x14ac:dyDescent="0.25">
      <c r="A947" s="127" t="s">
        <v>30</v>
      </c>
      <c r="B947" s="240" t="s">
        <v>17</v>
      </c>
      <c r="C947" s="145">
        <v>-1</v>
      </c>
      <c r="D947" s="145">
        <v>-2</v>
      </c>
      <c r="E947" s="145">
        <v>-3</v>
      </c>
      <c r="F947" s="146">
        <v>-4</v>
      </c>
      <c r="G947" s="146">
        <v>-5</v>
      </c>
      <c r="H947" s="146">
        <v>-6</v>
      </c>
      <c r="I947" s="146" t="s">
        <v>11</v>
      </c>
    </row>
    <row r="948" spans="1:9" ht="24.95" customHeight="1" x14ac:dyDescent="0.2">
      <c r="A948" s="127"/>
      <c r="B948" s="241"/>
      <c r="C948" s="148" t="s">
        <v>12</v>
      </c>
      <c r="D948" s="148" t="s">
        <v>13</v>
      </c>
      <c r="E948" s="148" t="s">
        <v>14</v>
      </c>
      <c r="F948" s="148" t="s">
        <v>14</v>
      </c>
      <c r="G948" s="148" t="s">
        <v>14</v>
      </c>
      <c r="H948" s="148" t="s">
        <v>31</v>
      </c>
      <c r="I948" s="126" t="s">
        <v>15</v>
      </c>
    </row>
    <row r="949" spans="1:9" ht="24.95" customHeight="1" x14ac:dyDescent="0.2">
      <c r="A949" s="127"/>
      <c r="B949" s="242"/>
      <c r="C949" s="128" t="s">
        <v>292</v>
      </c>
      <c r="D949" s="128" t="s">
        <v>293</v>
      </c>
      <c r="E949" s="128" t="s">
        <v>294</v>
      </c>
      <c r="F949" s="128" t="s">
        <v>116</v>
      </c>
      <c r="G949" s="150" t="s">
        <v>32</v>
      </c>
      <c r="H949" s="128" t="s">
        <v>33</v>
      </c>
      <c r="I949" s="128"/>
    </row>
    <row r="950" spans="1:9" ht="24.95" customHeight="1" thickBot="1" x14ac:dyDescent="0.25">
      <c r="A950" s="30"/>
      <c r="B950" s="243"/>
      <c r="C950" s="129"/>
      <c r="D950" s="30"/>
      <c r="E950" s="30"/>
      <c r="F950" s="30"/>
      <c r="G950" s="151"/>
      <c r="H950" s="129" t="s">
        <v>34</v>
      </c>
      <c r="I950" s="129"/>
    </row>
    <row r="951" spans="1:9" ht="15" customHeight="1" thickBot="1" x14ac:dyDescent="0.25">
      <c r="A951" s="152">
        <v>600</v>
      </c>
      <c r="B951" s="153" t="s">
        <v>117</v>
      </c>
      <c r="C951" s="142">
        <v>0</v>
      </c>
      <c r="D951" s="142">
        <v>0</v>
      </c>
      <c r="E951" s="142">
        <v>0</v>
      </c>
      <c r="F951" s="142">
        <v>0</v>
      </c>
      <c r="G951" s="142">
        <v>0</v>
      </c>
      <c r="H951" s="142">
        <v>0</v>
      </c>
      <c r="I951" s="154">
        <f t="shared" ref="I951:I970" si="291">SUM(H951-G951)</f>
        <v>0</v>
      </c>
    </row>
    <row r="952" spans="1:9" ht="15" customHeight="1" thickBot="1" x14ac:dyDescent="0.25">
      <c r="A952" s="152">
        <v>601</v>
      </c>
      <c r="B952" s="153" t="s">
        <v>118</v>
      </c>
      <c r="C952" s="142">
        <v>0</v>
      </c>
      <c r="D952" s="142">
        <v>0</v>
      </c>
      <c r="E952" s="142">
        <v>0</v>
      </c>
      <c r="F952" s="142">
        <v>0</v>
      </c>
      <c r="G952" s="142">
        <v>0</v>
      </c>
      <c r="H952" s="142">
        <v>0</v>
      </c>
      <c r="I952" s="154">
        <f t="shared" si="291"/>
        <v>0</v>
      </c>
    </row>
    <row r="953" spans="1:9" ht="15" customHeight="1" thickBot="1" x14ac:dyDescent="0.25">
      <c r="A953" s="152">
        <v>602</v>
      </c>
      <c r="B953" s="153" t="s">
        <v>119</v>
      </c>
      <c r="C953" s="142">
        <v>0</v>
      </c>
      <c r="D953" s="142">
        <v>0</v>
      </c>
      <c r="E953" s="142">
        <v>0</v>
      </c>
      <c r="F953" s="142">
        <v>0</v>
      </c>
      <c r="G953" s="142">
        <v>0</v>
      </c>
      <c r="H953" s="142">
        <v>0</v>
      </c>
      <c r="I953" s="154">
        <f t="shared" si="291"/>
        <v>0</v>
      </c>
    </row>
    <row r="954" spans="1:9" ht="15" customHeight="1" thickBot="1" x14ac:dyDescent="0.25">
      <c r="A954" s="152">
        <v>603</v>
      </c>
      <c r="B954" s="153" t="s">
        <v>120</v>
      </c>
      <c r="C954" s="142">
        <v>0</v>
      </c>
      <c r="D954" s="142">
        <v>0</v>
      </c>
      <c r="E954" s="142">
        <v>0</v>
      </c>
      <c r="F954" s="142">
        <v>0</v>
      </c>
      <c r="G954" s="142">
        <v>0</v>
      </c>
      <c r="H954" s="142">
        <v>0</v>
      </c>
      <c r="I954" s="154">
        <f t="shared" si="291"/>
        <v>0</v>
      </c>
    </row>
    <row r="955" spans="1:9" ht="15" customHeight="1" thickBot="1" x14ac:dyDescent="0.25">
      <c r="A955" s="152">
        <v>604</v>
      </c>
      <c r="B955" s="153" t="s">
        <v>121</v>
      </c>
      <c r="C955" s="142">
        <v>0</v>
      </c>
      <c r="D955" s="142">
        <v>0</v>
      </c>
      <c r="E955" s="142">
        <v>0</v>
      </c>
      <c r="F955" s="142">
        <v>0</v>
      </c>
      <c r="G955" s="142">
        <v>0</v>
      </c>
      <c r="H955" s="142">
        <v>0</v>
      </c>
      <c r="I955" s="154">
        <f t="shared" si="291"/>
        <v>0</v>
      </c>
    </row>
    <row r="956" spans="1:9" ht="15" customHeight="1" thickBot="1" x14ac:dyDescent="0.25">
      <c r="A956" s="152">
        <v>605</v>
      </c>
      <c r="B956" s="153" t="s">
        <v>122</v>
      </c>
      <c r="C956" s="142">
        <v>0</v>
      </c>
      <c r="D956" s="142">
        <v>0</v>
      </c>
      <c r="E956" s="142">
        <v>0</v>
      </c>
      <c r="F956" s="142">
        <v>0</v>
      </c>
      <c r="G956" s="142">
        <v>0</v>
      </c>
      <c r="H956" s="142">
        <v>0</v>
      </c>
      <c r="I956" s="154">
        <f t="shared" si="291"/>
        <v>0</v>
      </c>
    </row>
    <row r="957" spans="1:9" ht="15" customHeight="1" thickBot="1" x14ac:dyDescent="0.25">
      <c r="A957" s="152">
        <v>606</v>
      </c>
      <c r="B957" s="153" t="s">
        <v>70</v>
      </c>
      <c r="C957" s="142">
        <v>0</v>
      </c>
      <c r="D957" s="142">
        <v>0</v>
      </c>
      <c r="E957" s="142">
        <v>0</v>
      </c>
      <c r="F957" s="142">
        <v>0</v>
      </c>
      <c r="G957" s="142">
        <v>0</v>
      </c>
      <c r="H957" s="142">
        <v>0</v>
      </c>
      <c r="I957" s="154">
        <f t="shared" si="291"/>
        <v>0</v>
      </c>
    </row>
    <row r="958" spans="1:9" ht="15" customHeight="1" thickBot="1" x14ac:dyDescent="0.25">
      <c r="A958" s="152">
        <v>609</v>
      </c>
      <c r="B958" s="153" t="s">
        <v>123</v>
      </c>
      <c r="C958" s="142">
        <v>0</v>
      </c>
      <c r="D958" s="142">
        <v>0</v>
      </c>
      <c r="E958" s="142">
        <v>0</v>
      </c>
      <c r="F958" s="142">
        <v>0</v>
      </c>
      <c r="G958" s="142">
        <v>0</v>
      </c>
      <c r="H958" s="142">
        <v>0</v>
      </c>
      <c r="I958" s="154">
        <f t="shared" si="291"/>
        <v>0</v>
      </c>
    </row>
    <row r="959" spans="1:9" ht="15" customHeight="1" thickBot="1" x14ac:dyDescent="0.25">
      <c r="A959" s="152">
        <v>650</v>
      </c>
      <c r="B959" s="153" t="s">
        <v>124</v>
      </c>
      <c r="C959" s="142">
        <v>0</v>
      </c>
      <c r="D959" s="142">
        <v>0</v>
      </c>
      <c r="E959" s="142">
        <v>0</v>
      </c>
      <c r="F959" s="142">
        <v>0</v>
      </c>
      <c r="G959" s="142">
        <v>0</v>
      </c>
      <c r="H959" s="142">
        <v>0</v>
      </c>
      <c r="I959" s="154">
        <f t="shared" si="291"/>
        <v>0</v>
      </c>
    </row>
    <row r="960" spans="1:9" ht="15" customHeight="1" thickBot="1" x14ac:dyDescent="0.25">
      <c r="A960" s="152" t="s">
        <v>71</v>
      </c>
      <c r="B960" s="153" t="s">
        <v>72</v>
      </c>
      <c r="C960" s="142">
        <v>0</v>
      </c>
      <c r="D960" s="142">
        <v>0</v>
      </c>
      <c r="E960" s="142">
        <v>0</v>
      </c>
      <c r="F960" s="142">
        <v>0</v>
      </c>
      <c r="G960" s="142">
        <v>0</v>
      </c>
      <c r="H960" s="142">
        <v>0</v>
      </c>
      <c r="I960" s="154">
        <f t="shared" si="291"/>
        <v>0</v>
      </c>
    </row>
    <row r="961" spans="1:9" ht="26.25" thickBot="1" x14ac:dyDescent="0.25">
      <c r="A961" s="156" t="s">
        <v>35</v>
      </c>
      <c r="B961" s="157" t="s">
        <v>73</v>
      </c>
      <c r="C961" s="158">
        <f>SUM(C951:C960)</f>
        <v>0</v>
      </c>
      <c r="D961" s="158">
        <f t="shared" ref="D961" si="292">SUM(D951:D960)</f>
        <v>0</v>
      </c>
      <c r="E961" s="158">
        <f t="shared" ref="E961" si="293">SUM(E951:E960)</f>
        <v>0</v>
      </c>
      <c r="F961" s="158">
        <f t="shared" ref="F961" si="294">SUM(F951:F960)</f>
        <v>0</v>
      </c>
      <c r="G961" s="158">
        <f t="shared" ref="G961" si="295">SUM(G951:G960)</f>
        <v>0</v>
      </c>
      <c r="H961" s="158">
        <f t="shared" ref="H961" si="296">SUM(H951:H960)</f>
        <v>0</v>
      </c>
      <c r="I961" s="154">
        <f t="shared" si="291"/>
        <v>0</v>
      </c>
    </row>
    <row r="962" spans="1:9" ht="15" customHeight="1" thickBot="1" x14ac:dyDescent="0.25">
      <c r="A962" s="152">
        <v>230</v>
      </c>
      <c r="B962" s="152" t="s">
        <v>74</v>
      </c>
      <c r="C962" s="142">
        <v>0</v>
      </c>
      <c r="D962" s="142">
        <v>0</v>
      </c>
      <c r="E962" s="142">
        <v>0</v>
      </c>
      <c r="F962" s="142">
        <v>0</v>
      </c>
      <c r="G962" s="142">
        <v>0</v>
      </c>
      <c r="H962" s="142">
        <v>0</v>
      </c>
      <c r="I962" s="154">
        <f t="shared" si="291"/>
        <v>0</v>
      </c>
    </row>
    <row r="963" spans="1:9" ht="15" customHeight="1" thickBot="1" x14ac:dyDescent="0.25">
      <c r="A963" s="152">
        <v>231</v>
      </c>
      <c r="B963" s="152" t="s">
        <v>125</v>
      </c>
      <c r="C963" s="142">
        <v>691</v>
      </c>
      <c r="D963" s="142">
        <v>0</v>
      </c>
      <c r="E963" s="142">
        <v>0</v>
      </c>
      <c r="F963" s="142"/>
      <c r="G963" s="142"/>
      <c r="H963" s="142"/>
      <c r="I963" s="154">
        <f t="shared" si="291"/>
        <v>0</v>
      </c>
    </row>
    <row r="964" spans="1:9" ht="15" customHeight="1" thickBot="1" x14ac:dyDescent="0.25">
      <c r="A964" s="152">
        <v>232</v>
      </c>
      <c r="B964" s="152" t="s">
        <v>75</v>
      </c>
      <c r="C964" s="142">
        <v>0</v>
      </c>
      <c r="D964" s="142">
        <v>0</v>
      </c>
      <c r="E964" s="142">
        <v>0</v>
      </c>
      <c r="F964" s="142"/>
      <c r="G964" s="142"/>
      <c r="H964" s="142"/>
      <c r="I964" s="154">
        <f t="shared" si="291"/>
        <v>0</v>
      </c>
    </row>
    <row r="965" spans="1:9" ht="21" customHeight="1" thickBot="1" x14ac:dyDescent="0.25">
      <c r="A965" s="156" t="s">
        <v>35</v>
      </c>
      <c r="B965" s="157" t="s">
        <v>76</v>
      </c>
      <c r="C965" s="158">
        <f t="shared" ref="C965:H965" si="297">SUM(C962:C964)</f>
        <v>691</v>
      </c>
      <c r="D965" s="158">
        <f t="shared" si="297"/>
        <v>0</v>
      </c>
      <c r="E965" s="158">
        <f t="shared" si="297"/>
        <v>0</v>
      </c>
      <c r="F965" s="158">
        <f t="shared" si="297"/>
        <v>0</v>
      </c>
      <c r="G965" s="158">
        <f t="shared" si="297"/>
        <v>0</v>
      </c>
      <c r="H965" s="158">
        <f t="shared" si="297"/>
        <v>0</v>
      </c>
      <c r="I965" s="154">
        <f t="shared" si="291"/>
        <v>0</v>
      </c>
    </row>
    <row r="966" spans="1:9" ht="15" customHeight="1" thickBot="1" x14ac:dyDescent="0.25">
      <c r="A966" s="152">
        <v>230</v>
      </c>
      <c r="B966" s="152" t="s">
        <v>74</v>
      </c>
      <c r="C966" s="142">
        <v>0</v>
      </c>
      <c r="D966" s="142">
        <v>0</v>
      </c>
      <c r="E966" s="142">
        <v>0</v>
      </c>
      <c r="F966" s="142">
        <v>0</v>
      </c>
      <c r="G966" s="142">
        <v>0</v>
      </c>
      <c r="H966" s="142">
        <v>0</v>
      </c>
      <c r="I966" s="154">
        <f t="shared" si="291"/>
        <v>0</v>
      </c>
    </row>
    <row r="967" spans="1:9" ht="15" customHeight="1" thickBot="1" x14ac:dyDescent="0.25">
      <c r="A967" s="152">
        <v>231</v>
      </c>
      <c r="B967" s="152" t="s">
        <v>125</v>
      </c>
      <c r="C967" s="142">
        <v>0</v>
      </c>
      <c r="D967" s="142">
        <v>0</v>
      </c>
      <c r="E967" s="142">
        <v>0</v>
      </c>
      <c r="F967" s="142">
        <v>0</v>
      </c>
      <c r="G967" s="142">
        <v>0</v>
      </c>
      <c r="H967" s="142">
        <v>0</v>
      </c>
      <c r="I967" s="154">
        <f t="shared" si="291"/>
        <v>0</v>
      </c>
    </row>
    <row r="968" spans="1:9" ht="15" customHeight="1" thickBot="1" x14ac:dyDescent="0.25">
      <c r="A968" s="152">
        <v>232</v>
      </c>
      <c r="B968" s="152" t="s">
        <v>75</v>
      </c>
      <c r="C968" s="142">
        <v>0</v>
      </c>
      <c r="D968" s="142">
        <v>0</v>
      </c>
      <c r="E968" s="142">
        <v>0</v>
      </c>
      <c r="F968" s="142">
        <v>0</v>
      </c>
      <c r="G968" s="142">
        <v>0</v>
      </c>
      <c r="H968" s="142">
        <v>0</v>
      </c>
      <c r="I968" s="154">
        <f t="shared" si="291"/>
        <v>0</v>
      </c>
    </row>
    <row r="969" spans="1:9" ht="20.45" customHeight="1" thickBot="1" x14ac:dyDescent="0.25">
      <c r="A969" s="156" t="s">
        <v>35</v>
      </c>
      <c r="B969" s="157" t="s">
        <v>36</v>
      </c>
      <c r="C969" s="158">
        <f t="shared" ref="C969:H969" si="298">SUM(C966:C968)</f>
        <v>0</v>
      </c>
      <c r="D969" s="158">
        <f t="shared" si="298"/>
        <v>0</v>
      </c>
      <c r="E969" s="158">
        <f t="shared" si="298"/>
        <v>0</v>
      </c>
      <c r="F969" s="158">
        <f t="shared" si="298"/>
        <v>0</v>
      </c>
      <c r="G969" s="158">
        <f t="shared" si="298"/>
        <v>0</v>
      </c>
      <c r="H969" s="158">
        <f t="shared" si="298"/>
        <v>0</v>
      </c>
      <c r="I969" s="154">
        <f t="shared" si="291"/>
        <v>0</v>
      </c>
    </row>
    <row r="970" spans="1:9" ht="13.5" thickBot="1" x14ac:dyDescent="0.25">
      <c r="A970" s="156" t="s">
        <v>37</v>
      </c>
      <c r="B970" s="160" t="s">
        <v>38</v>
      </c>
      <c r="C970" s="161">
        <v>0</v>
      </c>
      <c r="D970" s="161">
        <v>0</v>
      </c>
      <c r="E970" s="161">
        <v>0</v>
      </c>
      <c r="F970" s="161">
        <v>0</v>
      </c>
      <c r="G970" s="161">
        <v>0</v>
      </c>
      <c r="H970" s="161">
        <v>0</v>
      </c>
      <c r="I970" s="154">
        <f t="shared" si="291"/>
        <v>0</v>
      </c>
    </row>
    <row r="971" spans="1:9" ht="13.5" thickBot="1" x14ac:dyDescent="0.25">
      <c r="A971" s="245" t="s">
        <v>77</v>
      </c>
      <c r="B971" s="246"/>
      <c r="C971" s="162">
        <f t="shared" ref="C971:I971" si="299">C965+C970</f>
        <v>691</v>
      </c>
      <c r="D971" s="162">
        <f t="shared" si="299"/>
        <v>0</v>
      </c>
      <c r="E971" s="162">
        <f t="shared" si="299"/>
        <v>0</v>
      </c>
      <c r="F971" s="162">
        <f t="shared" si="299"/>
        <v>0</v>
      </c>
      <c r="G971" s="162">
        <f t="shared" si="299"/>
        <v>0</v>
      </c>
      <c r="H971" s="162">
        <f t="shared" si="299"/>
        <v>0</v>
      </c>
      <c r="I971" s="162">
        <f t="shared" si="299"/>
        <v>0</v>
      </c>
    </row>
    <row r="973" spans="1:9" ht="19.149999999999999" customHeight="1" x14ac:dyDescent="0.2">
      <c r="A973" s="244" t="s">
        <v>66</v>
      </c>
      <c r="B973" s="164" t="s">
        <v>20</v>
      </c>
      <c r="C973" s="165" t="s">
        <v>302</v>
      </c>
      <c r="D973" s="244" t="s">
        <v>19</v>
      </c>
      <c r="E973" s="166" t="s">
        <v>283</v>
      </c>
    </row>
    <row r="974" spans="1:9" ht="21" customHeight="1" x14ac:dyDescent="0.2">
      <c r="A974" s="244"/>
      <c r="B974" s="164" t="s">
        <v>21</v>
      </c>
      <c r="C974" s="165"/>
      <c r="D974" s="244"/>
      <c r="E974" s="166"/>
    </row>
    <row r="975" spans="1:9" ht="22.9" customHeight="1" x14ac:dyDescent="0.2">
      <c r="A975" s="244"/>
      <c r="B975" s="164" t="s">
        <v>22</v>
      </c>
      <c r="C975" s="165" t="str">
        <f>C933</f>
        <v>08.02.2022</v>
      </c>
      <c r="D975" s="244"/>
      <c r="E975" s="166" t="str">
        <f>E933</f>
        <v>08.02.2022</v>
      </c>
    </row>
    <row r="983" spans="1:9" ht="15.75" customHeight="1" thickBot="1" x14ac:dyDescent="0.25">
      <c r="A983" s="136"/>
      <c r="B983" s="137"/>
      <c r="C983" s="138"/>
      <c r="D983" s="138"/>
      <c r="E983" s="138"/>
      <c r="F983" s="138"/>
      <c r="G983" s="138"/>
      <c r="H983" s="138"/>
      <c r="I983" s="130" t="s">
        <v>68</v>
      </c>
    </row>
    <row r="984" spans="1:9" ht="24.95" customHeight="1" thickBot="1" x14ac:dyDescent="0.25">
      <c r="A984" s="139" t="s">
        <v>25</v>
      </c>
      <c r="B984" s="140" t="s">
        <v>115</v>
      </c>
      <c r="C984" s="239"/>
      <c r="D984" s="239"/>
      <c r="E984" s="239"/>
      <c r="F984" s="239"/>
      <c r="G984" s="239"/>
      <c r="H984" s="141" t="s">
        <v>26</v>
      </c>
      <c r="I984" s="142">
        <v>2137001</v>
      </c>
    </row>
    <row r="985" spans="1:9" ht="24.95" customHeight="1" thickBot="1" x14ac:dyDescent="0.25">
      <c r="A985" s="30" t="s">
        <v>28</v>
      </c>
      <c r="B985" s="143" t="s">
        <v>284</v>
      </c>
      <c r="C985" s="239"/>
      <c r="D985" s="239"/>
      <c r="E985" s="239"/>
      <c r="F985" s="239"/>
      <c r="G985" s="239"/>
      <c r="H985" s="141" t="s">
        <v>69</v>
      </c>
      <c r="I985" s="142">
        <v>4980</v>
      </c>
    </row>
    <row r="986" spans="1:9" ht="24.95" customHeight="1" thickBot="1" x14ac:dyDescent="0.25">
      <c r="A986" s="127" t="s">
        <v>30</v>
      </c>
      <c r="B986" s="240" t="s">
        <v>17</v>
      </c>
      <c r="C986" s="145">
        <v>-1</v>
      </c>
      <c r="D986" s="145">
        <v>-2</v>
      </c>
      <c r="E986" s="145">
        <v>-3</v>
      </c>
      <c r="F986" s="146">
        <v>-4</v>
      </c>
      <c r="G986" s="146">
        <v>-5</v>
      </c>
      <c r="H986" s="146">
        <v>-6</v>
      </c>
      <c r="I986" s="146" t="s">
        <v>11</v>
      </c>
    </row>
    <row r="987" spans="1:9" ht="24.95" customHeight="1" x14ac:dyDescent="0.2">
      <c r="A987" s="127"/>
      <c r="B987" s="241"/>
      <c r="C987" s="148" t="s">
        <v>12</v>
      </c>
      <c r="D987" s="148" t="s">
        <v>13</v>
      </c>
      <c r="E987" s="148" t="s">
        <v>14</v>
      </c>
      <c r="F987" s="148" t="s">
        <v>14</v>
      </c>
      <c r="G987" s="148" t="s">
        <v>14</v>
      </c>
      <c r="H987" s="148" t="s">
        <v>31</v>
      </c>
      <c r="I987" s="126" t="s">
        <v>15</v>
      </c>
    </row>
    <row r="988" spans="1:9" ht="24.95" customHeight="1" x14ac:dyDescent="0.2">
      <c r="A988" s="127"/>
      <c r="B988" s="242"/>
      <c r="C988" s="128" t="s">
        <v>292</v>
      </c>
      <c r="D988" s="128" t="s">
        <v>293</v>
      </c>
      <c r="E988" s="128" t="s">
        <v>294</v>
      </c>
      <c r="F988" s="128" t="s">
        <v>116</v>
      </c>
      <c r="G988" s="150" t="s">
        <v>32</v>
      </c>
      <c r="H988" s="128" t="s">
        <v>33</v>
      </c>
      <c r="I988" s="128"/>
    </row>
    <row r="989" spans="1:9" ht="24.95" customHeight="1" thickBot="1" x14ac:dyDescent="0.25">
      <c r="A989" s="30"/>
      <c r="B989" s="243"/>
      <c r="C989" s="129"/>
      <c r="D989" s="30"/>
      <c r="E989" s="30"/>
      <c r="F989" s="30"/>
      <c r="G989" s="151"/>
      <c r="H989" s="129" t="s">
        <v>34</v>
      </c>
      <c r="I989" s="129"/>
    </row>
    <row r="990" spans="1:9" ht="15" customHeight="1" thickBot="1" x14ac:dyDescent="0.25">
      <c r="A990" s="152">
        <v>600</v>
      </c>
      <c r="B990" s="153" t="s">
        <v>117</v>
      </c>
      <c r="C990" s="142">
        <v>0</v>
      </c>
      <c r="D990" s="142">
        <v>0</v>
      </c>
      <c r="E990" s="142">
        <v>0</v>
      </c>
      <c r="F990" s="142">
        <v>0</v>
      </c>
      <c r="G990" s="142">
        <v>0</v>
      </c>
      <c r="H990" s="142">
        <v>0</v>
      </c>
      <c r="I990" s="154">
        <f t="shared" ref="I990:I999" si="300">SUM(H990-G990)</f>
        <v>0</v>
      </c>
    </row>
    <row r="991" spans="1:9" ht="15" customHeight="1" thickBot="1" x14ac:dyDescent="0.25">
      <c r="A991" s="152">
        <v>601</v>
      </c>
      <c r="B991" s="153" t="s">
        <v>118</v>
      </c>
      <c r="C991" s="142">
        <v>0</v>
      </c>
      <c r="D991" s="142">
        <v>0</v>
      </c>
      <c r="E991" s="142">
        <v>0</v>
      </c>
      <c r="F991" s="142">
        <v>0</v>
      </c>
      <c r="G991" s="142">
        <v>0</v>
      </c>
      <c r="H991" s="142">
        <v>0</v>
      </c>
      <c r="I991" s="154">
        <f t="shared" si="300"/>
        <v>0</v>
      </c>
    </row>
    <row r="992" spans="1:9" ht="15" customHeight="1" thickBot="1" x14ac:dyDescent="0.25">
      <c r="A992" s="152">
        <v>602</v>
      </c>
      <c r="B992" s="153" t="s">
        <v>119</v>
      </c>
      <c r="C992" s="142">
        <v>0</v>
      </c>
      <c r="D992" s="142">
        <v>0</v>
      </c>
      <c r="E992" s="142">
        <v>0</v>
      </c>
      <c r="F992" s="142">
        <v>0</v>
      </c>
      <c r="G992" s="142">
        <v>0</v>
      </c>
      <c r="H992" s="142">
        <v>0</v>
      </c>
      <c r="I992" s="154">
        <f t="shared" si="300"/>
        <v>0</v>
      </c>
    </row>
    <row r="993" spans="1:9" ht="15" customHeight="1" thickBot="1" x14ac:dyDescent="0.25">
      <c r="A993" s="152">
        <v>603</v>
      </c>
      <c r="B993" s="153" t="s">
        <v>120</v>
      </c>
      <c r="C993" s="142">
        <v>0</v>
      </c>
      <c r="D993" s="142">
        <v>0</v>
      </c>
      <c r="E993" s="142">
        <v>0</v>
      </c>
      <c r="F993" s="142">
        <v>0</v>
      </c>
      <c r="G993" s="142">
        <v>0</v>
      </c>
      <c r="H993" s="142">
        <v>0</v>
      </c>
      <c r="I993" s="154">
        <f t="shared" si="300"/>
        <v>0</v>
      </c>
    </row>
    <row r="994" spans="1:9" ht="15" customHeight="1" thickBot="1" x14ac:dyDescent="0.25">
      <c r="A994" s="152">
        <v>604</v>
      </c>
      <c r="B994" s="153" t="s">
        <v>121</v>
      </c>
      <c r="C994" s="142">
        <v>0</v>
      </c>
      <c r="D994" s="142">
        <v>0</v>
      </c>
      <c r="E994" s="142">
        <v>0</v>
      </c>
      <c r="F994" s="142">
        <v>0</v>
      </c>
      <c r="G994" s="142">
        <v>0</v>
      </c>
      <c r="H994" s="142">
        <v>0</v>
      </c>
      <c r="I994" s="154">
        <f t="shared" si="300"/>
        <v>0</v>
      </c>
    </row>
    <row r="995" spans="1:9" ht="15" customHeight="1" thickBot="1" x14ac:dyDescent="0.25">
      <c r="A995" s="152">
        <v>605</v>
      </c>
      <c r="B995" s="153" t="s">
        <v>122</v>
      </c>
      <c r="C995" s="142">
        <v>0</v>
      </c>
      <c r="D995" s="142">
        <v>0</v>
      </c>
      <c r="E995" s="142">
        <v>0</v>
      </c>
      <c r="F995" s="142">
        <v>0</v>
      </c>
      <c r="G995" s="142">
        <v>0</v>
      </c>
      <c r="H995" s="142">
        <v>0</v>
      </c>
      <c r="I995" s="154">
        <f t="shared" si="300"/>
        <v>0</v>
      </c>
    </row>
    <row r="996" spans="1:9" ht="15" customHeight="1" thickBot="1" x14ac:dyDescent="0.25">
      <c r="A996" s="152">
        <v>606</v>
      </c>
      <c r="B996" s="153" t="s">
        <v>70</v>
      </c>
      <c r="C996" s="142">
        <v>0</v>
      </c>
      <c r="D996" s="142">
        <v>0</v>
      </c>
      <c r="E996" s="142">
        <v>0</v>
      </c>
      <c r="F996" s="142">
        <v>0</v>
      </c>
      <c r="G996" s="142">
        <v>0</v>
      </c>
      <c r="H996" s="142">
        <v>0</v>
      </c>
      <c r="I996" s="154">
        <f t="shared" si="300"/>
        <v>0</v>
      </c>
    </row>
    <row r="997" spans="1:9" ht="15" customHeight="1" thickBot="1" x14ac:dyDescent="0.25">
      <c r="A997" s="152">
        <v>609</v>
      </c>
      <c r="B997" s="153" t="s">
        <v>123</v>
      </c>
      <c r="C997" s="142">
        <v>0</v>
      </c>
      <c r="D997" s="159">
        <v>2647</v>
      </c>
      <c r="E997" s="142">
        <v>2647</v>
      </c>
      <c r="F997" s="142">
        <f>1847+800</f>
        <v>2647</v>
      </c>
      <c r="G997" s="142">
        <f>1847+800</f>
        <v>2647</v>
      </c>
      <c r="H997" s="142">
        <v>0</v>
      </c>
      <c r="I997" s="154">
        <f t="shared" si="300"/>
        <v>-2647</v>
      </c>
    </row>
    <row r="998" spans="1:9" ht="15" customHeight="1" thickBot="1" x14ac:dyDescent="0.25">
      <c r="A998" s="152">
        <v>650</v>
      </c>
      <c r="B998" s="153" t="s">
        <v>124</v>
      </c>
      <c r="C998" s="142">
        <v>0</v>
      </c>
      <c r="D998" s="142">
        <v>0</v>
      </c>
      <c r="E998" s="142">
        <v>0</v>
      </c>
      <c r="F998" s="142">
        <v>0</v>
      </c>
      <c r="G998" s="142">
        <v>0</v>
      </c>
      <c r="H998" s="142">
        <v>0</v>
      </c>
      <c r="I998" s="154">
        <f t="shared" si="300"/>
        <v>0</v>
      </c>
    </row>
    <row r="999" spans="1:9" ht="15" customHeight="1" thickBot="1" x14ac:dyDescent="0.25">
      <c r="A999" s="152" t="s">
        <v>71</v>
      </c>
      <c r="B999" s="153" t="s">
        <v>72</v>
      </c>
      <c r="C999" s="142">
        <v>0</v>
      </c>
      <c r="D999" s="142">
        <v>0</v>
      </c>
      <c r="E999" s="142">
        <v>0</v>
      </c>
      <c r="F999" s="142">
        <v>0</v>
      </c>
      <c r="G999" s="142">
        <v>0</v>
      </c>
      <c r="H999" s="142">
        <v>0</v>
      </c>
      <c r="I999" s="154">
        <f t="shared" si="300"/>
        <v>0</v>
      </c>
    </row>
    <row r="1000" spans="1:9" ht="26.25" thickBot="1" x14ac:dyDescent="0.25">
      <c r="A1000" s="156" t="s">
        <v>35</v>
      </c>
      <c r="B1000" s="157" t="s">
        <v>73</v>
      </c>
      <c r="C1000" s="158">
        <f>SUM(C990:C999)</f>
        <v>0</v>
      </c>
      <c r="D1000" s="158">
        <f t="shared" ref="D1000" si="301">SUM(D990:D999)</f>
        <v>2647</v>
      </c>
      <c r="E1000" s="158">
        <f t="shared" ref="E1000" si="302">SUM(E990:E999)</f>
        <v>2647</v>
      </c>
      <c r="F1000" s="158">
        <f t="shared" ref="F1000" si="303">SUM(F990:F999)</f>
        <v>2647</v>
      </c>
      <c r="G1000" s="158">
        <f t="shared" ref="G1000" si="304">SUM(G990:G999)</f>
        <v>2647</v>
      </c>
      <c r="H1000" s="158">
        <f t="shared" ref="H1000" si="305">SUM(H990:H999)</f>
        <v>0</v>
      </c>
      <c r="I1000" s="158">
        <f t="shared" ref="I1000" si="306">SUM(I990:I999)</f>
        <v>-2647</v>
      </c>
    </row>
    <row r="1001" spans="1:9" ht="15" customHeight="1" thickBot="1" x14ac:dyDescent="0.25">
      <c r="A1001" s="152">
        <v>230</v>
      </c>
      <c r="B1001" s="152" t="s">
        <v>74</v>
      </c>
      <c r="C1001" s="142">
        <v>0</v>
      </c>
      <c r="D1001" s="142">
        <v>0</v>
      </c>
      <c r="E1001" s="142">
        <v>0</v>
      </c>
      <c r="F1001" s="142">
        <v>0</v>
      </c>
      <c r="G1001" s="142">
        <v>0</v>
      </c>
      <c r="H1001" s="142">
        <v>0</v>
      </c>
      <c r="I1001" s="154">
        <f>SUM(H1001-G1001)</f>
        <v>0</v>
      </c>
    </row>
    <row r="1002" spans="1:9" ht="15" customHeight="1" thickBot="1" x14ac:dyDescent="0.25">
      <c r="A1002" s="152">
        <v>231</v>
      </c>
      <c r="B1002" s="152" t="s">
        <v>125</v>
      </c>
      <c r="C1002" s="142"/>
      <c r="D1002" s="142">
        <v>0</v>
      </c>
      <c r="E1002" s="142">
        <v>0</v>
      </c>
      <c r="F1002" s="142"/>
      <c r="G1002" s="142"/>
      <c r="H1002" s="142"/>
      <c r="I1002" s="154">
        <f>SUM(H1002-G1002)</f>
        <v>0</v>
      </c>
    </row>
    <row r="1003" spans="1:9" ht="15" customHeight="1" thickBot="1" x14ac:dyDescent="0.25">
      <c r="A1003" s="152">
        <v>232</v>
      </c>
      <c r="B1003" s="152" t="s">
        <v>75</v>
      </c>
      <c r="C1003" s="142">
        <v>0</v>
      </c>
      <c r="D1003" s="142">
        <v>0</v>
      </c>
      <c r="E1003" s="142">
        <v>0</v>
      </c>
      <c r="F1003" s="142">
        <v>0</v>
      </c>
      <c r="G1003" s="142">
        <v>0</v>
      </c>
      <c r="H1003" s="142">
        <v>0</v>
      </c>
      <c r="I1003" s="154">
        <f>SUM(H1003-G1003)</f>
        <v>0</v>
      </c>
    </row>
    <row r="1004" spans="1:9" ht="21" customHeight="1" thickBot="1" x14ac:dyDescent="0.25">
      <c r="A1004" s="156" t="s">
        <v>35</v>
      </c>
      <c r="B1004" s="157" t="s">
        <v>76</v>
      </c>
      <c r="C1004" s="158">
        <f t="shared" ref="C1004:H1004" si="307">SUM(C1001:C1003)</f>
        <v>0</v>
      </c>
      <c r="D1004" s="158">
        <f t="shared" si="307"/>
        <v>0</v>
      </c>
      <c r="E1004" s="158">
        <f t="shared" si="307"/>
        <v>0</v>
      </c>
      <c r="F1004" s="158">
        <f t="shared" si="307"/>
        <v>0</v>
      </c>
      <c r="G1004" s="158">
        <f t="shared" si="307"/>
        <v>0</v>
      </c>
      <c r="H1004" s="158">
        <f t="shared" si="307"/>
        <v>0</v>
      </c>
      <c r="I1004" s="154">
        <f>SUM(H1001-G1003)</f>
        <v>0</v>
      </c>
    </row>
    <row r="1005" spans="1:9" ht="15" customHeight="1" thickBot="1" x14ac:dyDescent="0.25">
      <c r="A1005" s="152">
        <v>230</v>
      </c>
      <c r="B1005" s="152" t="s">
        <v>74</v>
      </c>
      <c r="C1005" s="142">
        <v>0</v>
      </c>
      <c r="D1005" s="142">
        <v>0</v>
      </c>
      <c r="E1005" s="142">
        <v>0</v>
      </c>
      <c r="F1005" s="142">
        <v>0</v>
      </c>
      <c r="G1005" s="142">
        <v>0</v>
      </c>
      <c r="H1005" s="142">
        <v>0</v>
      </c>
      <c r="I1005" s="154">
        <f>SUM(H1005-G1005)</f>
        <v>0</v>
      </c>
    </row>
    <row r="1006" spans="1:9" ht="15" customHeight="1" thickBot="1" x14ac:dyDescent="0.25">
      <c r="A1006" s="152">
        <v>231</v>
      </c>
      <c r="B1006" s="152" t="s">
        <v>125</v>
      </c>
      <c r="C1006" s="142">
        <v>0</v>
      </c>
      <c r="D1006" s="142">
        <v>0</v>
      </c>
      <c r="E1006" s="142">
        <v>0</v>
      </c>
      <c r="F1006" s="142">
        <v>0</v>
      </c>
      <c r="G1006" s="142">
        <v>0</v>
      </c>
      <c r="H1006" s="142">
        <v>0</v>
      </c>
      <c r="I1006" s="154">
        <f>SUM(H1006-G1006)</f>
        <v>0</v>
      </c>
    </row>
    <row r="1007" spans="1:9" ht="15" customHeight="1" thickBot="1" x14ac:dyDescent="0.25">
      <c r="A1007" s="152">
        <v>232</v>
      </c>
      <c r="B1007" s="152" t="s">
        <v>75</v>
      </c>
      <c r="C1007" s="142">
        <v>0</v>
      </c>
      <c r="D1007" s="142">
        <v>0</v>
      </c>
      <c r="E1007" s="142">
        <v>0</v>
      </c>
      <c r="F1007" s="142">
        <v>0</v>
      </c>
      <c r="G1007" s="142">
        <v>0</v>
      </c>
      <c r="H1007" s="142">
        <v>0</v>
      </c>
      <c r="I1007" s="154">
        <f>SUM(H1007-G1007)</f>
        <v>0</v>
      </c>
    </row>
    <row r="1008" spans="1:9" ht="20.45" customHeight="1" thickBot="1" x14ac:dyDescent="0.25">
      <c r="A1008" s="156" t="s">
        <v>35</v>
      </c>
      <c r="B1008" s="157" t="s">
        <v>36</v>
      </c>
      <c r="C1008" s="158">
        <f t="shared" ref="C1008:H1008" si="308">SUM(C1005:C1007)</f>
        <v>0</v>
      </c>
      <c r="D1008" s="158">
        <f t="shared" si="308"/>
        <v>0</v>
      </c>
      <c r="E1008" s="158">
        <f t="shared" si="308"/>
        <v>0</v>
      </c>
      <c r="F1008" s="158">
        <f t="shared" si="308"/>
        <v>0</v>
      </c>
      <c r="G1008" s="158">
        <f t="shared" si="308"/>
        <v>0</v>
      </c>
      <c r="H1008" s="158">
        <f t="shared" si="308"/>
        <v>0</v>
      </c>
      <c r="I1008" s="154">
        <f>SUM(H1005-G1007)</f>
        <v>0</v>
      </c>
    </row>
    <row r="1009" spans="1:9" ht="13.5" thickBot="1" x14ac:dyDescent="0.25">
      <c r="A1009" s="156" t="s">
        <v>37</v>
      </c>
      <c r="B1009" s="160" t="s">
        <v>38</v>
      </c>
      <c r="C1009" s="161">
        <f>C1004</f>
        <v>0</v>
      </c>
      <c r="D1009" s="161">
        <f t="shared" ref="D1009" si="309">D1004</f>
        <v>0</v>
      </c>
      <c r="E1009" s="161">
        <f t="shared" ref="E1009" si="310">E1004</f>
        <v>0</v>
      </c>
      <c r="F1009" s="161">
        <f t="shared" ref="F1009" si="311">F1004</f>
        <v>0</v>
      </c>
      <c r="G1009" s="161">
        <f t="shared" ref="G1009" si="312">G1004</f>
        <v>0</v>
      </c>
      <c r="H1009" s="161">
        <f t="shared" ref="H1009" si="313">H1004</f>
        <v>0</v>
      </c>
      <c r="I1009" s="161">
        <f t="shared" ref="I1009" si="314">I1004</f>
        <v>0</v>
      </c>
    </row>
    <row r="1010" spans="1:9" ht="13.5" thickBot="1" x14ac:dyDescent="0.25">
      <c r="A1010" s="245" t="s">
        <v>77</v>
      </c>
      <c r="B1010" s="246"/>
      <c r="C1010" s="162">
        <f>C1009+C1000</f>
        <v>0</v>
      </c>
      <c r="D1010" s="162">
        <f t="shared" ref="D1010" si="315">D1009+D1000</f>
        <v>2647</v>
      </c>
      <c r="E1010" s="162">
        <f t="shared" ref="E1010" si="316">E1009+E1000</f>
        <v>2647</v>
      </c>
      <c r="F1010" s="162">
        <f t="shared" ref="F1010" si="317">F1009+F1000</f>
        <v>2647</v>
      </c>
      <c r="G1010" s="162">
        <f t="shared" ref="G1010" si="318">G1009+G1000</f>
        <v>2647</v>
      </c>
      <c r="H1010" s="162">
        <f t="shared" ref="H1010" si="319">H1009+H1000</f>
        <v>0</v>
      </c>
      <c r="I1010" s="162">
        <f t="shared" ref="I1010" si="320">I1009+I1000</f>
        <v>-2647</v>
      </c>
    </row>
    <row r="1012" spans="1:9" ht="19.149999999999999" customHeight="1" x14ac:dyDescent="0.2">
      <c r="A1012" s="244" t="s">
        <v>66</v>
      </c>
      <c r="B1012" s="164" t="s">
        <v>20</v>
      </c>
      <c r="C1012" s="165" t="s">
        <v>302</v>
      </c>
      <c r="D1012" s="244" t="s">
        <v>19</v>
      </c>
      <c r="E1012" s="166" t="s">
        <v>283</v>
      </c>
    </row>
    <row r="1013" spans="1:9" ht="21" customHeight="1" x14ac:dyDescent="0.2">
      <c r="A1013" s="244"/>
      <c r="B1013" s="164" t="s">
        <v>21</v>
      </c>
      <c r="C1013" s="165"/>
      <c r="D1013" s="244"/>
      <c r="E1013" s="166"/>
    </row>
    <row r="1014" spans="1:9" ht="22.9" customHeight="1" x14ac:dyDescent="0.2">
      <c r="A1014" s="244"/>
      <c r="B1014" s="164" t="s">
        <v>22</v>
      </c>
      <c r="C1014" s="165" t="str">
        <f>C975</f>
        <v>08.02.2022</v>
      </c>
      <c r="D1014" s="244"/>
      <c r="E1014" s="166" t="str">
        <f>E975</f>
        <v>08.02.2022</v>
      </c>
    </row>
    <row r="1023" spans="1:9" ht="15.75" customHeight="1" thickBot="1" x14ac:dyDescent="0.25">
      <c r="A1023" s="136"/>
      <c r="B1023" s="137"/>
      <c r="C1023" s="138"/>
      <c r="D1023" s="138"/>
      <c r="E1023" s="138"/>
      <c r="F1023" s="138"/>
      <c r="G1023" s="138"/>
      <c r="H1023" s="138"/>
      <c r="I1023" s="130" t="s">
        <v>68</v>
      </c>
    </row>
    <row r="1024" spans="1:9" ht="24.95" customHeight="1" thickBot="1" x14ac:dyDescent="0.25">
      <c r="A1024" s="139" t="s">
        <v>25</v>
      </c>
      <c r="B1024" s="140" t="s">
        <v>115</v>
      </c>
      <c r="C1024" s="239"/>
      <c r="D1024" s="239"/>
      <c r="E1024" s="239"/>
      <c r="F1024" s="239"/>
      <c r="G1024" s="239"/>
      <c r="H1024" s="141" t="s">
        <v>26</v>
      </c>
      <c r="I1024" s="142">
        <v>2137001</v>
      </c>
    </row>
    <row r="1025" spans="1:9" ht="24.95" customHeight="1" thickBot="1" x14ac:dyDescent="0.25">
      <c r="A1025" s="30" t="s">
        <v>28</v>
      </c>
      <c r="B1025" s="143" t="s">
        <v>285</v>
      </c>
      <c r="C1025" s="239"/>
      <c r="D1025" s="239"/>
      <c r="E1025" s="239"/>
      <c r="F1025" s="239"/>
      <c r="G1025" s="239"/>
      <c r="H1025" s="141" t="s">
        <v>69</v>
      </c>
      <c r="I1025" s="142">
        <v>10910</v>
      </c>
    </row>
    <row r="1026" spans="1:9" ht="24.95" customHeight="1" thickBot="1" x14ac:dyDescent="0.25">
      <c r="A1026" s="127" t="s">
        <v>30</v>
      </c>
      <c r="B1026" s="240" t="s">
        <v>17</v>
      </c>
      <c r="C1026" s="145">
        <v>-1</v>
      </c>
      <c r="D1026" s="145">
        <v>-2</v>
      </c>
      <c r="E1026" s="145">
        <v>-3</v>
      </c>
      <c r="F1026" s="146">
        <v>-4</v>
      </c>
      <c r="G1026" s="146">
        <v>-5</v>
      </c>
      <c r="H1026" s="146">
        <v>-6</v>
      </c>
      <c r="I1026" s="146" t="s">
        <v>11</v>
      </c>
    </row>
    <row r="1027" spans="1:9" ht="24.95" customHeight="1" x14ac:dyDescent="0.2">
      <c r="A1027" s="127"/>
      <c r="B1027" s="241"/>
      <c r="C1027" s="148" t="s">
        <v>12</v>
      </c>
      <c r="D1027" s="148" t="s">
        <v>13</v>
      </c>
      <c r="E1027" s="148" t="s">
        <v>14</v>
      </c>
      <c r="F1027" s="148" t="s">
        <v>14</v>
      </c>
      <c r="G1027" s="148" t="s">
        <v>14</v>
      </c>
      <c r="H1027" s="148" t="s">
        <v>31</v>
      </c>
      <c r="I1027" s="126" t="s">
        <v>15</v>
      </c>
    </row>
    <row r="1028" spans="1:9" ht="24.95" customHeight="1" x14ac:dyDescent="0.2">
      <c r="A1028" s="127"/>
      <c r="B1028" s="242"/>
      <c r="C1028" s="128" t="s">
        <v>292</v>
      </c>
      <c r="D1028" s="128" t="s">
        <v>293</v>
      </c>
      <c r="E1028" s="128" t="s">
        <v>294</v>
      </c>
      <c r="F1028" s="128" t="s">
        <v>116</v>
      </c>
      <c r="G1028" s="150" t="s">
        <v>32</v>
      </c>
      <c r="H1028" s="128" t="s">
        <v>33</v>
      </c>
      <c r="I1028" s="128"/>
    </row>
    <row r="1029" spans="1:9" ht="24.95" customHeight="1" thickBot="1" x14ac:dyDescent="0.25">
      <c r="A1029" s="30"/>
      <c r="B1029" s="243"/>
      <c r="C1029" s="129"/>
      <c r="D1029" s="30"/>
      <c r="E1029" s="30"/>
      <c r="F1029" s="30"/>
      <c r="G1029" s="151"/>
      <c r="H1029" s="129" t="s">
        <v>34</v>
      </c>
      <c r="I1029" s="129"/>
    </row>
    <row r="1030" spans="1:9" ht="15" customHeight="1" thickBot="1" x14ac:dyDescent="0.25">
      <c r="A1030" s="152">
        <v>600</v>
      </c>
      <c r="B1030" s="153" t="s">
        <v>117</v>
      </c>
      <c r="C1030" s="142">
        <v>0</v>
      </c>
      <c r="D1030" s="142">
        <v>0</v>
      </c>
      <c r="E1030" s="142">
        <v>0</v>
      </c>
      <c r="F1030" s="142">
        <v>0</v>
      </c>
      <c r="G1030" s="142">
        <v>0</v>
      </c>
      <c r="H1030" s="142">
        <v>0</v>
      </c>
      <c r="I1030" s="154">
        <f t="shared" ref="I1030:I1043" si="321">SUM(H1030-G1030)</f>
        <v>0</v>
      </c>
    </row>
    <row r="1031" spans="1:9" ht="15" customHeight="1" thickBot="1" x14ac:dyDescent="0.25">
      <c r="A1031" s="152">
        <v>601</v>
      </c>
      <c r="B1031" s="153" t="s">
        <v>118</v>
      </c>
      <c r="C1031" s="142">
        <v>0</v>
      </c>
      <c r="D1031" s="142">
        <v>0</v>
      </c>
      <c r="E1031" s="142">
        <v>0</v>
      </c>
      <c r="F1031" s="142">
        <v>0</v>
      </c>
      <c r="G1031" s="142">
        <v>0</v>
      </c>
      <c r="H1031" s="142">
        <v>0</v>
      </c>
      <c r="I1031" s="154">
        <f t="shared" si="321"/>
        <v>0</v>
      </c>
    </row>
    <row r="1032" spans="1:9" ht="15" customHeight="1" thickBot="1" x14ac:dyDescent="0.25">
      <c r="A1032" s="152">
        <v>602</v>
      </c>
      <c r="B1032" s="153" t="s">
        <v>119</v>
      </c>
      <c r="C1032" s="142">
        <v>0</v>
      </c>
      <c r="D1032" s="142">
        <v>0</v>
      </c>
      <c r="E1032" s="142">
        <v>0</v>
      </c>
      <c r="F1032" s="142">
        <v>0</v>
      </c>
      <c r="G1032" s="142">
        <v>0</v>
      </c>
      <c r="H1032" s="142">
        <v>0</v>
      </c>
      <c r="I1032" s="154">
        <f t="shared" si="321"/>
        <v>0</v>
      </c>
    </row>
    <row r="1033" spans="1:9" ht="15" customHeight="1" thickBot="1" x14ac:dyDescent="0.25">
      <c r="A1033" s="152">
        <v>603</v>
      </c>
      <c r="B1033" s="153" t="s">
        <v>120</v>
      </c>
      <c r="C1033" s="142">
        <v>0</v>
      </c>
      <c r="D1033" s="142">
        <v>0</v>
      </c>
      <c r="E1033" s="142">
        <v>0</v>
      </c>
      <c r="F1033" s="142">
        <v>0</v>
      </c>
      <c r="G1033" s="142">
        <v>0</v>
      </c>
      <c r="H1033" s="142">
        <v>0</v>
      </c>
      <c r="I1033" s="154">
        <f t="shared" si="321"/>
        <v>0</v>
      </c>
    </row>
    <row r="1034" spans="1:9" ht="15" customHeight="1" thickBot="1" x14ac:dyDescent="0.25">
      <c r="A1034" s="152">
        <v>604</v>
      </c>
      <c r="B1034" s="153" t="s">
        <v>121</v>
      </c>
      <c r="C1034" s="142">
        <v>1995</v>
      </c>
      <c r="D1034" s="142">
        <v>0</v>
      </c>
      <c r="E1034" s="142">
        <v>0</v>
      </c>
      <c r="F1034" s="142"/>
      <c r="G1034" s="142"/>
      <c r="H1034" s="142"/>
      <c r="I1034" s="154">
        <f t="shared" si="321"/>
        <v>0</v>
      </c>
    </row>
    <row r="1035" spans="1:9" ht="15" customHeight="1" thickBot="1" x14ac:dyDescent="0.25">
      <c r="A1035" s="152">
        <v>605</v>
      </c>
      <c r="B1035" s="153" t="s">
        <v>122</v>
      </c>
      <c r="C1035" s="142">
        <v>0</v>
      </c>
      <c r="D1035" s="142">
        <v>0</v>
      </c>
      <c r="E1035" s="142">
        <v>0</v>
      </c>
      <c r="F1035" s="142">
        <v>0</v>
      </c>
      <c r="G1035" s="142">
        <v>0</v>
      </c>
      <c r="H1035" s="142">
        <v>0</v>
      </c>
      <c r="I1035" s="154">
        <f t="shared" si="321"/>
        <v>0</v>
      </c>
    </row>
    <row r="1036" spans="1:9" ht="15" customHeight="1" thickBot="1" x14ac:dyDescent="0.25">
      <c r="A1036" s="152">
        <v>606</v>
      </c>
      <c r="B1036" s="153" t="s">
        <v>70</v>
      </c>
      <c r="C1036" s="142">
        <v>0</v>
      </c>
      <c r="D1036" s="142">
        <v>0</v>
      </c>
      <c r="E1036" s="142">
        <v>0</v>
      </c>
      <c r="F1036" s="142">
        <v>0</v>
      </c>
      <c r="G1036" s="142">
        <v>0</v>
      </c>
      <c r="H1036" s="142">
        <v>0</v>
      </c>
      <c r="I1036" s="154">
        <f t="shared" si="321"/>
        <v>0</v>
      </c>
    </row>
    <row r="1037" spans="1:9" ht="15" customHeight="1" thickBot="1" x14ac:dyDescent="0.25">
      <c r="A1037" s="152">
        <v>609</v>
      </c>
      <c r="B1037" s="153" t="s">
        <v>123</v>
      </c>
      <c r="C1037" s="142">
        <v>0</v>
      </c>
      <c r="D1037" s="142">
        <v>0</v>
      </c>
      <c r="E1037" s="142">
        <v>0</v>
      </c>
      <c r="F1037" s="142">
        <v>0</v>
      </c>
      <c r="G1037" s="142"/>
      <c r="H1037" s="142">
        <v>0</v>
      </c>
      <c r="I1037" s="154">
        <f t="shared" si="321"/>
        <v>0</v>
      </c>
    </row>
    <row r="1038" spans="1:9" ht="15" customHeight="1" thickBot="1" x14ac:dyDescent="0.25">
      <c r="A1038" s="152">
        <v>650</v>
      </c>
      <c r="B1038" s="153" t="s">
        <v>124</v>
      </c>
      <c r="C1038" s="142">
        <v>0</v>
      </c>
      <c r="D1038" s="142">
        <v>0</v>
      </c>
      <c r="E1038" s="142">
        <v>0</v>
      </c>
      <c r="F1038" s="142">
        <v>0</v>
      </c>
      <c r="G1038" s="142">
        <v>0</v>
      </c>
      <c r="H1038" s="142">
        <v>0</v>
      </c>
      <c r="I1038" s="154">
        <f t="shared" si="321"/>
        <v>0</v>
      </c>
    </row>
    <row r="1039" spans="1:9" ht="15" customHeight="1" thickBot="1" x14ac:dyDescent="0.25">
      <c r="A1039" s="152" t="s">
        <v>71</v>
      </c>
      <c r="B1039" s="153" t="s">
        <v>72</v>
      </c>
      <c r="C1039" s="142">
        <v>0</v>
      </c>
      <c r="D1039" s="142">
        <v>0</v>
      </c>
      <c r="E1039" s="142">
        <v>0</v>
      </c>
      <c r="F1039" s="142">
        <v>0</v>
      </c>
      <c r="G1039" s="142">
        <v>0</v>
      </c>
      <c r="H1039" s="142">
        <v>0</v>
      </c>
      <c r="I1039" s="154">
        <f t="shared" si="321"/>
        <v>0</v>
      </c>
    </row>
    <row r="1040" spans="1:9" ht="26.25" thickBot="1" x14ac:dyDescent="0.25">
      <c r="A1040" s="156" t="s">
        <v>35</v>
      </c>
      <c r="B1040" s="157" t="s">
        <v>73</v>
      </c>
      <c r="C1040" s="158">
        <f>SUM(C1030:C1039)</f>
        <v>1995</v>
      </c>
      <c r="D1040" s="158">
        <f t="shared" ref="D1040" si="322">SUM(D1030:D1039)</f>
        <v>0</v>
      </c>
      <c r="E1040" s="158">
        <f t="shared" ref="E1040" si="323">SUM(E1030:E1039)</f>
        <v>0</v>
      </c>
      <c r="F1040" s="158">
        <f t="shared" ref="F1040" si="324">SUM(F1030:F1039)</f>
        <v>0</v>
      </c>
      <c r="G1040" s="158">
        <f t="shared" ref="G1040" si="325">SUM(G1030:G1039)</f>
        <v>0</v>
      </c>
      <c r="H1040" s="158">
        <f t="shared" ref="H1040" si="326">SUM(H1030:H1039)</f>
        <v>0</v>
      </c>
      <c r="I1040" s="154">
        <f t="shared" si="321"/>
        <v>0</v>
      </c>
    </row>
    <row r="1041" spans="1:9" ht="15" customHeight="1" thickBot="1" x14ac:dyDescent="0.25">
      <c r="A1041" s="152">
        <v>230</v>
      </c>
      <c r="B1041" s="152" t="s">
        <v>74</v>
      </c>
      <c r="C1041" s="142">
        <v>0</v>
      </c>
      <c r="D1041" s="142">
        <v>0</v>
      </c>
      <c r="E1041" s="142">
        <v>0</v>
      </c>
      <c r="F1041" s="142">
        <v>0</v>
      </c>
      <c r="G1041" s="142">
        <v>0</v>
      </c>
      <c r="H1041" s="142">
        <v>0</v>
      </c>
      <c r="I1041" s="154">
        <f t="shared" si="321"/>
        <v>0</v>
      </c>
    </row>
    <row r="1042" spans="1:9" ht="15" customHeight="1" thickBot="1" x14ac:dyDescent="0.25">
      <c r="A1042" s="152">
        <v>231</v>
      </c>
      <c r="B1042" s="152" t="s">
        <v>125</v>
      </c>
      <c r="C1042" s="142"/>
      <c r="D1042" s="142">
        <v>0</v>
      </c>
      <c r="E1042" s="142">
        <v>0</v>
      </c>
      <c r="F1042" s="142"/>
      <c r="G1042" s="142"/>
      <c r="H1042" s="142"/>
      <c r="I1042" s="154">
        <f t="shared" si="321"/>
        <v>0</v>
      </c>
    </row>
    <row r="1043" spans="1:9" ht="15" customHeight="1" thickBot="1" x14ac:dyDescent="0.25">
      <c r="A1043" s="152">
        <v>232</v>
      </c>
      <c r="B1043" s="152" t="s">
        <v>75</v>
      </c>
      <c r="C1043" s="142">
        <v>0</v>
      </c>
      <c r="D1043" s="142">
        <v>0</v>
      </c>
      <c r="E1043" s="142">
        <v>0</v>
      </c>
      <c r="F1043" s="142">
        <v>0</v>
      </c>
      <c r="G1043" s="142">
        <v>0</v>
      </c>
      <c r="H1043" s="142">
        <v>0</v>
      </c>
      <c r="I1043" s="154">
        <f t="shared" si="321"/>
        <v>0</v>
      </c>
    </row>
    <row r="1044" spans="1:9" ht="21" customHeight="1" thickBot="1" x14ac:dyDescent="0.25">
      <c r="A1044" s="156" t="s">
        <v>35</v>
      </c>
      <c r="B1044" s="157" t="s">
        <v>76</v>
      </c>
      <c r="C1044" s="158">
        <f t="shared" ref="C1044:H1044" si="327">SUM(C1041:C1043)</f>
        <v>0</v>
      </c>
      <c r="D1044" s="158">
        <f t="shared" si="327"/>
        <v>0</v>
      </c>
      <c r="E1044" s="158">
        <f t="shared" si="327"/>
        <v>0</v>
      </c>
      <c r="F1044" s="158">
        <f t="shared" si="327"/>
        <v>0</v>
      </c>
      <c r="G1044" s="158">
        <f t="shared" si="327"/>
        <v>0</v>
      </c>
      <c r="H1044" s="158">
        <f t="shared" si="327"/>
        <v>0</v>
      </c>
      <c r="I1044" s="154">
        <f>SUM(H1041-G1043)</f>
        <v>0</v>
      </c>
    </row>
    <row r="1045" spans="1:9" ht="15" customHeight="1" thickBot="1" x14ac:dyDescent="0.25">
      <c r="A1045" s="152">
        <v>230</v>
      </c>
      <c r="B1045" s="152" t="s">
        <v>74</v>
      </c>
      <c r="C1045" s="142">
        <v>0</v>
      </c>
      <c r="D1045" s="142">
        <v>0</v>
      </c>
      <c r="E1045" s="142">
        <v>0</v>
      </c>
      <c r="F1045" s="142">
        <v>0</v>
      </c>
      <c r="G1045" s="142">
        <v>0</v>
      </c>
      <c r="H1045" s="142">
        <v>0</v>
      </c>
      <c r="I1045" s="154">
        <f>SUM(H1045-G1045)</f>
        <v>0</v>
      </c>
    </row>
    <row r="1046" spans="1:9" ht="15" customHeight="1" thickBot="1" x14ac:dyDescent="0.25">
      <c r="A1046" s="152">
        <v>231</v>
      </c>
      <c r="B1046" s="152" t="s">
        <v>125</v>
      </c>
      <c r="C1046" s="142">
        <v>0</v>
      </c>
      <c r="D1046" s="142">
        <v>0</v>
      </c>
      <c r="E1046" s="142">
        <v>0</v>
      </c>
      <c r="F1046" s="142">
        <v>0</v>
      </c>
      <c r="G1046" s="142">
        <v>0</v>
      </c>
      <c r="H1046" s="142">
        <v>0</v>
      </c>
      <c r="I1046" s="154">
        <f>SUM(H1046-G1046)</f>
        <v>0</v>
      </c>
    </row>
    <row r="1047" spans="1:9" ht="15" customHeight="1" thickBot="1" x14ac:dyDescent="0.25">
      <c r="A1047" s="152">
        <v>232</v>
      </c>
      <c r="B1047" s="152" t="s">
        <v>75</v>
      </c>
      <c r="C1047" s="142">
        <v>0</v>
      </c>
      <c r="D1047" s="142">
        <v>0</v>
      </c>
      <c r="E1047" s="142">
        <v>0</v>
      </c>
      <c r="F1047" s="142">
        <v>0</v>
      </c>
      <c r="G1047" s="142">
        <v>0</v>
      </c>
      <c r="H1047" s="142">
        <v>0</v>
      </c>
      <c r="I1047" s="154">
        <f>SUM(H1047-G1047)</f>
        <v>0</v>
      </c>
    </row>
    <row r="1048" spans="1:9" ht="20.45" customHeight="1" thickBot="1" x14ac:dyDescent="0.25">
      <c r="A1048" s="156" t="s">
        <v>35</v>
      </c>
      <c r="B1048" s="157" t="s">
        <v>36</v>
      </c>
      <c r="C1048" s="158">
        <f t="shared" ref="C1048:H1048" si="328">SUM(C1045:C1047)</f>
        <v>0</v>
      </c>
      <c r="D1048" s="158">
        <f t="shared" si="328"/>
        <v>0</v>
      </c>
      <c r="E1048" s="158">
        <f t="shared" si="328"/>
        <v>0</v>
      </c>
      <c r="F1048" s="158">
        <f t="shared" si="328"/>
        <v>0</v>
      </c>
      <c r="G1048" s="158">
        <f t="shared" si="328"/>
        <v>0</v>
      </c>
      <c r="H1048" s="158">
        <f t="shared" si="328"/>
        <v>0</v>
      </c>
      <c r="I1048" s="154">
        <f>SUM(H1045-G1047)</f>
        <v>0</v>
      </c>
    </row>
    <row r="1049" spans="1:9" ht="13.5" thickBot="1" x14ac:dyDescent="0.25">
      <c r="A1049" s="156" t="s">
        <v>37</v>
      </c>
      <c r="B1049" s="160" t="s">
        <v>38</v>
      </c>
      <c r="C1049" s="161">
        <f>C1044</f>
        <v>0</v>
      </c>
      <c r="D1049" s="161">
        <v>0</v>
      </c>
      <c r="E1049" s="161">
        <v>0</v>
      </c>
      <c r="F1049" s="161">
        <v>0</v>
      </c>
      <c r="G1049" s="161">
        <v>0</v>
      </c>
      <c r="H1049" s="161">
        <v>0</v>
      </c>
      <c r="I1049" s="154">
        <f>SUM(H1049-G1049)</f>
        <v>0</v>
      </c>
    </row>
    <row r="1050" spans="1:9" ht="13.5" thickBot="1" x14ac:dyDescent="0.25">
      <c r="A1050" s="245" t="s">
        <v>77</v>
      </c>
      <c r="B1050" s="246"/>
      <c r="C1050" s="162">
        <f t="shared" ref="C1050:H1050" si="329">C1040+C1044</f>
        <v>1995</v>
      </c>
      <c r="D1050" s="162">
        <f t="shared" si="329"/>
        <v>0</v>
      </c>
      <c r="E1050" s="162">
        <f t="shared" si="329"/>
        <v>0</v>
      </c>
      <c r="F1050" s="162">
        <f t="shared" si="329"/>
        <v>0</v>
      </c>
      <c r="G1050" s="162">
        <f t="shared" si="329"/>
        <v>0</v>
      </c>
      <c r="H1050" s="162">
        <f t="shared" si="329"/>
        <v>0</v>
      </c>
      <c r="I1050" s="163">
        <f>SUM(H1050-G1050)</f>
        <v>0</v>
      </c>
    </row>
    <row r="1052" spans="1:9" ht="19.149999999999999" customHeight="1" x14ac:dyDescent="0.2">
      <c r="A1052" s="244" t="s">
        <v>66</v>
      </c>
      <c r="B1052" s="164" t="s">
        <v>20</v>
      </c>
      <c r="C1052" s="165" t="s">
        <v>302</v>
      </c>
      <c r="D1052" s="244" t="s">
        <v>19</v>
      </c>
      <c r="E1052" s="166" t="s">
        <v>283</v>
      </c>
    </row>
    <row r="1053" spans="1:9" ht="21" customHeight="1" x14ac:dyDescent="0.2">
      <c r="A1053" s="244"/>
      <c r="B1053" s="164" t="s">
        <v>21</v>
      </c>
      <c r="C1053" s="165"/>
      <c r="D1053" s="244"/>
      <c r="E1053" s="166"/>
    </row>
    <row r="1054" spans="1:9" ht="22.9" customHeight="1" x14ac:dyDescent="0.2">
      <c r="A1054" s="244"/>
      <c r="B1054" s="164" t="s">
        <v>22</v>
      </c>
      <c r="C1054" s="165" t="str">
        <f>C1014</f>
        <v>08.02.2022</v>
      </c>
      <c r="D1054" s="244"/>
      <c r="E1054" s="166" t="str">
        <f>E1014</f>
        <v>08.02.2022</v>
      </c>
    </row>
    <row r="1057" spans="1:11" ht="15" x14ac:dyDescent="0.25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15" x14ac:dyDescent="0.25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15" x14ac:dyDescent="0.25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15" x14ac:dyDescent="0.25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15" x14ac:dyDescent="0.25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15" x14ac:dyDescent="0.25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15" x14ac:dyDescent="0.25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15" x14ac:dyDescent="0.25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15" x14ac:dyDescent="0.25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15" x14ac:dyDescent="0.25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15" x14ac:dyDescent="0.25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15" x14ac:dyDescent="0.25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15" x14ac:dyDescent="0.25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15" x14ac:dyDescent="0.25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15" x14ac:dyDescent="0.25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15" x14ac:dyDescent="0.25">
      <c r="A1072"/>
      <c r="B1072"/>
      <c r="C1072"/>
      <c r="D1072"/>
      <c r="E1072"/>
      <c r="F1072"/>
      <c r="G1072"/>
      <c r="H1072"/>
      <c r="I1072"/>
      <c r="J1072"/>
      <c r="K1072"/>
    </row>
  </sheetData>
  <mergeCells count="157">
    <mergeCell ref="A1052:A1054"/>
    <mergeCell ref="D1052:D1054"/>
    <mergeCell ref="A1050:B1050"/>
    <mergeCell ref="C1025:G1025"/>
    <mergeCell ref="B1026:B1029"/>
    <mergeCell ref="A1010:B1010"/>
    <mergeCell ref="A1012:A1014"/>
    <mergeCell ref="D1012:D1014"/>
    <mergeCell ref="C1024:G1024"/>
    <mergeCell ref="C984:G984"/>
    <mergeCell ref="C985:G985"/>
    <mergeCell ref="B986:B989"/>
    <mergeCell ref="K20:L20"/>
    <mergeCell ref="C4:G4"/>
    <mergeCell ref="C5:G5"/>
    <mergeCell ref="B6:B9"/>
    <mergeCell ref="A30:B30"/>
    <mergeCell ref="A32:A34"/>
    <mergeCell ref="D32:D34"/>
    <mergeCell ref="C43:G43"/>
    <mergeCell ref="C44:G44"/>
    <mergeCell ref="B45:B48"/>
    <mergeCell ref="A69:B69"/>
    <mergeCell ref="A71:A73"/>
    <mergeCell ref="D71:D73"/>
    <mergeCell ref="C84:G84"/>
    <mergeCell ref="C85:G85"/>
    <mergeCell ref="B86:B89"/>
    <mergeCell ref="A110:B110"/>
    <mergeCell ref="A112:A114"/>
    <mergeCell ref="D112:D114"/>
    <mergeCell ref="C126:G126"/>
    <mergeCell ref="C127:G127"/>
    <mergeCell ref="B128:B131"/>
    <mergeCell ref="A152:B152"/>
    <mergeCell ref="A154:A156"/>
    <mergeCell ref="D154:D156"/>
    <mergeCell ref="C166:G166"/>
    <mergeCell ref="C167:G167"/>
    <mergeCell ref="B168:B171"/>
    <mergeCell ref="A192:B192"/>
    <mergeCell ref="A194:A196"/>
    <mergeCell ref="D194:D196"/>
    <mergeCell ref="C208:G208"/>
    <mergeCell ref="C209:G209"/>
    <mergeCell ref="B210:B213"/>
    <mergeCell ref="A234:B234"/>
    <mergeCell ref="A236:A238"/>
    <mergeCell ref="D236:D238"/>
    <mergeCell ref="C249:G249"/>
    <mergeCell ref="C250:G250"/>
    <mergeCell ref="B251:B254"/>
    <mergeCell ref="A275:B275"/>
    <mergeCell ref="A277:A279"/>
    <mergeCell ref="D277:D279"/>
    <mergeCell ref="C289:G289"/>
    <mergeCell ref="C290:G290"/>
    <mergeCell ref="B291:B294"/>
    <mergeCell ref="A315:B315"/>
    <mergeCell ref="A317:A319"/>
    <mergeCell ref="D317:D319"/>
    <mergeCell ref="C331:G331"/>
    <mergeCell ref="C332:G332"/>
    <mergeCell ref="B333:B336"/>
    <mergeCell ref="A357:B357"/>
    <mergeCell ref="A359:A361"/>
    <mergeCell ref="D359:D361"/>
    <mergeCell ref="C372:G372"/>
    <mergeCell ref="C373:G373"/>
    <mergeCell ref="B374:B377"/>
    <mergeCell ref="A398:B398"/>
    <mergeCell ref="A400:A402"/>
    <mergeCell ref="D400:D402"/>
    <mergeCell ref="C413:G413"/>
    <mergeCell ref="C414:G414"/>
    <mergeCell ref="B415:B418"/>
    <mergeCell ref="A439:B439"/>
    <mergeCell ref="A441:A443"/>
    <mergeCell ref="D441:D443"/>
    <mergeCell ref="C455:G455"/>
    <mergeCell ref="C456:G456"/>
    <mergeCell ref="B457:B460"/>
    <mergeCell ref="A481:B481"/>
    <mergeCell ref="A483:A485"/>
    <mergeCell ref="D483:D485"/>
    <mergeCell ref="C494:G494"/>
    <mergeCell ref="C495:G495"/>
    <mergeCell ref="B496:B499"/>
    <mergeCell ref="A520:B520"/>
    <mergeCell ref="A522:A524"/>
    <mergeCell ref="D522:D524"/>
    <mergeCell ref="C536:G536"/>
    <mergeCell ref="C537:G537"/>
    <mergeCell ref="B538:B541"/>
    <mergeCell ref="A562:B562"/>
    <mergeCell ref="A564:A566"/>
    <mergeCell ref="D564:D566"/>
    <mergeCell ref="C577:G577"/>
    <mergeCell ref="C578:G578"/>
    <mergeCell ref="B579:B582"/>
    <mergeCell ref="A603:B603"/>
    <mergeCell ref="A605:A607"/>
    <mergeCell ref="D605:D607"/>
    <mergeCell ref="C618:G618"/>
    <mergeCell ref="C619:G619"/>
    <mergeCell ref="B620:B623"/>
    <mergeCell ref="A644:B644"/>
    <mergeCell ref="A646:A648"/>
    <mergeCell ref="D646:D648"/>
    <mergeCell ref="C659:G659"/>
    <mergeCell ref="C660:G660"/>
    <mergeCell ref="B661:B664"/>
    <mergeCell ref="A685:B685"/>
    <mergeCell ref="A687:A689"/>
    <mergeCell ref="D687:D689"/>
    <mergeCell ref="C699:G699"/>
    <mergeCell ref="C700:G700"/>
    <mergeCell ref="B701:B704"/>
    <mergeCell ref="A725:B725"/>
    <mergeCell ref="A727:A729"/>
    <mergeCell ref="D727:D729"/>
    <mergeCell ref="C740:G740"/>
    <mergeCell ref="C741:G741"/>
    <mergeCell ref="B742:B745"/>
    <mergeCell ref="A766:B766"/>
    <mergeCell ref="A768:A770"/>
    <mergeCell ref="D768:D770"/>
    <mergeCell ref="C781:G781"/>
    <mergeCell ref="C782:G782"/>
    <mergeCell ref="B783:B786"/>
    <mergeCell ref="A807:B807"/>
    <mergeCell ref="A809:A811"/>
    <mergeCell ref="D809:D811"/>
    <mergeCell ref="C823:G823"/>
    <mergeCell ref="C824:G824"/>
    <mergeCell ref="B825:B828"/>
    <mergeCell ref="A849:B849"/>
    <mergeCell ref="A851:A853"/>
    <mergeCell ref="D851:D853"/>
    <mergeCell ref="C860:G860"/>
    <mergeCell ref="C861:G861"/>
    <mergeCell ref="B862:B865"/>
    <mergeCell ref="C945:G945"/>
    <mergeCell ref="C946:G946"/>
    <mergeCell ref="B947:B950"/>
    <mergeCell ref="A973:A975"/>
    <mergeCell ref="D973:D975"/>
    <mergeCell ref="A971:B971"/>
    <mergeCell ref="A886:B886"/>
    <mergeCell ref="A888:A890"/>
    <mergeCell ref="D888:D890"/>
    <mergeCell ref="C903:G903"/>
    <mergeCell ref="C904:G904"/>
    <mergeCell ref="B905:B908"/>
    <mergeCell ref="A929:B929"/>
    <mergeCell ref="A931:A933"/>
    <mergeCell ref="D931:D933"/>
  </mergeCells>
  <pageMargins left="0.2" right="0.2" top="0.25" bottom="0.2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85"/>
  <sheetViews>
    <sheetView zoomScaleNormal="100" workbookViewId="0">
      <selection activeCell="C11" sqref="C11"/>
    </sheetView>
  </sheetViews>
  <sheetFormatPr defaultRowHeight="15" x14ac:dyDescent="0.25"/>
  <cols>
    <col min="1" max="1" width="9.5703125" customWidth="1"/>
    <col min="2" max="2" width="53.28515625" customWidth="1"/>
    <col min="3" max="3" width="17.28515625" customWidth="1"/>
    <col min="4" max="4" width="12.140625" customWidth="1"/>
    <col min="5" max="5" width="8" customWidth="1"/>
    <col min="6" max="8" width="9.42578125" customWidth="1"/>
    <col min="9" max="9" width="8" customWidth="1"/>
    <col min="10" max="10" width="12.28515625" customWidth="1"/>
    <col min="11" max="12" width="9.42578125" bestFit="1" customWidth="1"/>
    <col min="13" max="13" width="9.7109375" customWidth="1"/>
    <col min="14" max="14" width="9.42578125" customWidth="1"/>
    <col min="15" max="15" width="9.140625" customWidth="1"/>
    <col min="16" max="16" width="9.85546875" customWidth="1"/>
    <col min="17" max="17" width="8" bestFit="1" customWidth="1"/>
    <col min="18" max="18" width="10.7109375" customWidth="1"/>
    <col min="19" max="19" width="9.85546875" bestFit="1" customWidth="1"/>
  </cols>
  <sheetData>
    <row r="1" spans="1:19" s="116" customFormat="1" ht="15.75" x14ac:dyDescent="0.25">
      <c r="A1" s="28" t="s">
        <v>78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1:19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2.5" x14ac:dyDescent="0.25">
      <c r="A4" s="103" t="s">
        <v>1</v>
      </c>
      <c r="B4" s="98" t="s">
        <v>39</v>
      </c>
      <c r="C4" s="104" t="s">
        <v>2</v>
      </c>
      <c r="D4" s="101" t="s">
        <v>39</v>
      </c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x14ac:dyDescent="0.25">
      <c r="A5" s="103" t="s">
        <v>28</v>
      </c>
      <c r="B5" s="98" t="s">
        <v>18</v>
      </c>
      <c r="C5" s="104" t="s">
        <v>69</v>
      </c>
      <c r="D5" s="99">
        <v>1110</v>
      </c>
      <c r="E5" s="102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5" customHeight="1" thickBot="1" x14ac:dyDescent="0.3">
      <c r="A6" s="33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5" customHeight="1" thickBot="1" x14ac:dyDescent="0.3">
      <c r="A7" s="90"/>
      <c r="B7" s="91" t="s">
        <v>126</v>
      </c>
      <c r="C7" s="91"/>
      <c r="D7" s="91"/>
      <c r="E7" s="91"/>
      <c r="F7" s="91" t="s">
        <v>40</v>
      </c>
      <c r="G7" s="91"/>
      <c r="H7" s="91"/>
      <c r="I7" s="91" t="s">
        <v>41</v>
      </c>
      <c r="J7" s="91"/>
      <c r="K7" s="91"/>
      <c r="L7" s="91" t="s">
        <v>42</v>
      </c>
      <c r="M7" s="91"/>
      <c r="N7" s="91"/>
      <c r="O7" s="91" t="s">
        <v>43</v>
      </c>
      <c r="P7" s="270" t="s">
        <v>44</v>
      </c>
      <c r="Q7" s="271"/>
      <c r="R7" s="272"/>
      <c r="S7" s="273" t="s">
        <v>45</v>
      </c>
    </row>
    <row r="8" spans="1:19" ht="20.100000000000001" customHeight="1" x14ac:dyDescent="0.25">
      <c r="A8" s="322" t="s">
        <v>46</v>
      </c>
      <c r="B8" s="277" t="s">
        <v>47</v>
      </c>
      <c r="C8" s="279" t="s">
        <v>127</v>
      </c>
      <c r="D8" s="281" t="s">
        <v>128</v>
      </c>
      <c r="E8" s="283" t="s">
        <v>129</v>
      </c>
      <c r="F8" s="285" t="s">
        <v>130</v>
      </c>
      <c r="G8" s="281" t="s">
        <v>131</v>
      </c>
      <c r="H8" s="283" t="s">
        <v>132</v>
      </c>
      <c r="I8" s="285" t="s">
        <v>133</v>
      </c>
      <c r="J8" s="281" t="s">
        <v>134</v>
      </c>
      <c r="K8" s="283" t="s">
        <v>135</v>
      </c>
      <c r="L8" s="285" t="s">
        <v>136</v>
      </c>
      <c r="M8" s="281" t="s">
        <v>137</v>
      </c>
      <c r="N8" s="283" t="s">
        <v>138</v>
      </c>
      <c r="O8" s="285" t="s">
        <v>139</v>
      </c>
      <c r="P8" s="287" t="s">
        <v>140</v>
      </c>
      <c r="Q8" s="313" t="s">
        <v>141</v>
      </c>
      <c r="R8" s="267" t="s">
        <v>142</v>
      </c>
      <c r="S8" s="274"/>
    </row>
    <row r="9" spans="1:19" x14ac:dyDescent="0.25">
      <c r="A9" s="323"/>
      <c r="B9" s="278"/>
      <c r="C9" s="280"/>
      <c r="D9" s="282"/>
      <c r="E9" s="284"/>
      <c r="F9" s="286"/>
      <c r="G9" s="282"/>
      <c r="H9" s="284"/>
      <c r="I9" s="286"/>
      <c r="J9" s="282"/>
      <c r="K9" s="284"/>
      <c r="L9" s="286"/>
      <c r="M9" s="282"/>
      <c r="N9" s="284"/>
      <c r="O9" s="286"/>
      <c r="P9" s="288"/>
      <c r="Q9" s="314"/>
      <c r="R9" s="268"/>
      <c r="S9" s="275"/>
    </row>
    <row r="10" spans="1:19" ht="36.75" customHeight="1" x14ac:dyDescent="0.25">
      <c r="A10" s="324">
        <v>1</v>
      </c>
      <c r="B10" s="289" t="s">
        <v>59</v>
      </c>
      <c r="C10" s="290" t="s">
        <v>143</v>
      </c>
      <c r="D10" s="291">
        <v>9.7100000000000009</v>
      </c>
      <c r="E10" s="292"/>
      <c r="F10" s="269"/>
      <c r="G10" s="291"/>
      <c r="H10" s="292"/>
      <c r="I10" s="269"/>
      <c r="J10" s="291">
        <v>9.2799999999999994</v>
      </c>
      <c r="K10" s="292"/>
      <c r="L10" s="269"/>
      <c r="M10" s="291"/>
      <c r="N10" s="292"/>
      <c r="O10" s="269"/>
      <c r="P10" s="293"/>
      <c r="Q10" s="315"/>
      <c r="R10" s="312"/>
      <c r="S10" s="97"/>
    </row>
    <row r="11" spans="1:19" x14ac:dyDescent="0.25">
      <c r="A11" s="202" t="s">
        <v>347</v>
      </c>
      <c r="B11" s="203" t="s">
        <v>348</v>
      </c>
      <c r="C11" s="204" t="s">
        <v>338</v>
      </c>
      <c r="D11" s="205">
        <v>20</v>
      </c>
      <c r="E11" s="96"/>
      <c r="F11" s="308">
        <f t="shared" ref="F11:F16" si="0">E11/D11</f>
        <v>0</v>
      </c>
      <c r="G11" s="95">
        <v>28</v>
      </c>
      <c r="H11" s="96"/>
      <c r="I11" s="308">
        <f t="shared" ref="I11:I16" si="1">H11/G11</f>
        <v>0</v>
      </c>
      <c r="J11" s="95">
        <v>28</v>
      </c>
      <c r="K11" s="96"/>
      <c r="L11" s="308">
        <f t="shared" ref="L11:L16" si="2">K11/J11</f>
        <v>0</v>
      </c>
      <c r="M11" s="205">
        <v>47</v>
      </c>
      <c r="N11" s="96"/>
      <c r="O11" s="308">
        <f t="shared" ref="O11:O16" si="3">N11/M11</f>
        <v>0</v>
      </c>
      <c r="P11" s="309">
        <f t="shared" ref="P11" si="4">O11-F11</f>
        <v>0</v>
      </c>
      <c r="Q11" s="310">
        <f t="shared" ref="Q11" si="5">O11-I11</f>
        <v>0</v>
      </c>
      <c r="R11" s="311">
        <f t="shared" ref="R11" si="6">O11-L11</f>
        <v>0</v>
      </c>
      <c r="S11" s="97"/>
    </row>
    <row r="12" spans="1:19" ht="22.5" x14ac:dyDescent="0.25">
      <c r="A12" s="202" t="s">
        <v>349</v>
      </c>
      <c r="B12" s="203" t="s">
        <v>350</v>
      </c>
      <c r="C12" s="204" t="s">
        <v>338</v>
      </c>
      <c r="D12" s="205">
        <v>1</v>
      </c>
      <c r="E12" s="96"/>
      <c r="F12" s="308">
        <f t="shared" si="0"/>
        <v>0</v>
      </c>
      <c r="G12" s="205">
        <v>1</v>
      </c>
      <c r="H12" s="96"/>
      <c r="I12" s="308">
        <f t="shared" si="1"/>
        <v>0</v>
      </c>
      <c r="J12" s="205">
        <v>1</v>
      </c>
      <c r="K12" s="96"/>
      <c r="L12" s="308">
        <f t="shared" si="2"/>
        <v>0</v>
      </c>
      <c r="M12" s="205">
        <v>1</v>
      </c>
      <c r="N12" s="96"/>
      <c r="O12" s="308">
        <f t="shared" si="3"/>
        <v>0</v>
      </c>
      <c r="P12" s="309">
        <f t="shared" ref="P12:P16" si="7">O12-F12</f>
        <v>0</v>
      </c>
      <c r="Q12" s="310">
        <f t="shared" ref="Q12:Q16" si="8">O12-I12</f>
        <v>0</v>
      </c>
      <c r="R12" s="311">
        <f t="shared" ref="R12:R16" si="9">O12-L12</f>
        <v>0</v>
      </c>
      <c r="S12" s="97"/>
    </row>
    <row r="13" spans="1:19" ht="22.5" x14ac:dyDescent="0.25">
      <c r="A13" s="202" t="s">
        <v>351</v>
      </c>
      <c r="B13" s="203" t="s">
        <v>352</v>
      </c>
      <c r="C13" s="204" t="s">
        <v>338</v>
      </c>
      <c r="D13" s="205">
        <v>1</v>
      </c>
      <c r="E13" s="96"/>
      <c r="F13" s="308">
        <f t="shared" si="0"/>
        <v>0</v>
      </c>
      <c r="G13" s="205">
        <v>1</v>
      </c>
      <c r="H13" s="96"/>
      <c r="I13" s="308">
        <f t="shared" si="1"/>
        <v>0</v>
      </c>
      <c r="J13" s="205">
        <v>1</v>
      </c>
      <c r="K13" s="96"/>
      <c r="L13" s="308">
        <f t="shared" si="2"/>
        <v>0</v>
      </c>
      <c r="M13" s="205">
        <v>1</v>
      </c>
      <c r="N13" s="96"/>
      <c r="O13" s="308">
        <f t="shared" si="3"/>
        <v>0</v>
      </c>
      <c r="P13" s="309">
        <f t="shared" si="7"/>
        <v>0</v>
      </c>
      <c r="Q13" s="310">
        <f t="shared" si="8"/>
        <v>0</v>
      </c>
      <c r="R13" s="311">
        <f t="shared" si="9"/>
        <v>0</v>
      </c>
      <c r="S13" s="97"/>
    </row>
    <row r="14" spans="1:19" ht="22.5" x14ac:dyDescent="0.25">
      <c r="A14" s="202" t="s">
        <v>353</v>
      </c>
      <c r="B14" s="203" t="s">
        <v>354</v>
      </c>
      <c r="C14" s="204" t="s">
        <v>338</v>
      </c>
      <c r="D14" s="205">
        <v>1</v>
      </c>
      <c r="E14" s="96"/>
      <c r="F14" s="308">
        <f t="shared" si="0"/>
        <v>0</v>
      </c>
      <c r="G14" s="205">
        <v>1</v>
      </c>
      <c r="H14" s="96"/>
      <c r="I14" s="308">
        <f t="shared" si="1"/>
        <v>0</v>
      </c>
      <c r="J14" s="205">
        <v>1</v>
      </c>
      <c r="K14" s="96"/>
      <c r="L14" s="308">
        <f t="shared" si="2"/>
        <v>0</v>
      </c>
      <c r="M14" s="205">
        <v>1</v>
      </c>
      <c r="N14" s="96"/>
      <c r="O14" s="308">
        <f t="shared" si="3"/>
        <v>0</v>
      </c>
      <c r="P14" s="309">
        <f t="shared" si="7"/>
        <v>0</v>
      </c>
      <c r="Q14" s="310">
        <f t="shared" si="8"/>
        <v>0</v>
      </c>
      <c r="R14" s="311">
        <f t="shared" si="9"/>
        <v>0</v>
      </c>
      <c r="S14" s="97"/>
    </row>
    <row r="15" spans="1:19" ht="22.5" x14ac:dyDescent="0.25">
      <c r="A15" s="202" t="s">
        <v>355</v>
      </c>
      <c r="B15" s="203" t="s">
        <v>356</v>
      </c>
      <c r="C15" s="204" t="s">
        <v>338</v>
      </c>
      <c r="D15" s="205">
        <v>1584</v>
      </c>
      <c r="E15" s="96"/>
      <c r="F15" s="308">
        <f t="shared" si="0"/>
        <v>0</v>
      </c>
      <c r="G15" s="205">
        <v>1020</v>
      </c>
      <c r="H15" s="96"/>
      <c r="I15" s="308">
        <f t="shared" si="1"/>
        <v>0</v>
      </c>
      <c r="J15" s="205">
        <v>1020</v>
      </c>
      <c r="K15" s="96"/>
      <c r="L15" s="308">
        <f t="shared" si="2"/>
        <v>0</v>
      </c>
      <c r="M15" s="205">
        <v>375</v>
      </c>
      <c r="N15" s="96"/>
      <c r="O15" s="308">
        <f t="shared" si="3"/>
        <v>0</v>
      </c>
      <c r="P15" s="309">
        <f t="shared" si="7"/>
        <v>0</v>
      </c>
      <c r="Q15" s="310">
        <f t="shared" si="8"/>
        <v>0</v>
      </c>
      <c r="R15" s="311">
        <f t="shared" si="9"/>
        <v>0</v>
      </c>
      <c r="S15" s="97"/>
    </row>
    <row r="16" spans="1:19" ht="22.5" x14ac:dyDescent="0.25">
      <c r="A16" s="202" t="s">
        <v>357</v>
      </c>
      <c r="B16" s="203" t="s">
        <v>358</v>
      </c>
      <c r="C16" s="204" t="s">
        <v>338</v>
      </c>
      <c r="D16" s="205">
        <v>0</v>
      </c>
      <c r="E16" s="96"/>
      <c r="F16" s="308" t="e">
        <f t="shared" si="0"/>
        <v>#DIV/0!</v>
      </c>
      <c r="G16" s="205">
        <v>0</v>
      </c>
      <c r="H16" s="96"/>
      <c r="I16" s="308" t="e">
        <f t="shared" si="1"/>
        <v>#DIV/0!</v>
      </c>
      <c r="J16" s="205">
        <v>0</v>
      </c>
      <c r="K16" s="96"/>
      <c r="L16" s="308" t="e">
        <f t="shared" si="2"/>
        <v>#DIV/0!</v>
      </c>
      <c r="M16" s="205">
        <v>0</v>
      </c>
      <c r="N16" s="96"/>
      <c r="O16" s="308" t="e">
        <f t="shared" si="3"/>
        <v>#DIV/0!</v>
      </c>
      <c r="P16" s="309" t="e">
        <f t="shared" si="7"/>
        <v>#DIV/0!</v>
      </c>
      <c r="Q16" s="310" t="e">
        <f t="shared" si="8"/>
        <v>#DIV/0!</v>
      </c>
      <c r="R16" s="311" t="e">
        <f t="shared" si="9"/>
        <v>#DIV/0!</v>
      </c>
      <c r="S16" s="97"/>
    </row>
    <row r="18" spans="1:19" ht="19.149999999999999" customHeight="1" x14ac:dyDescent="0.25">
      <c r="A18" s="316" t="s">
        <v>66</v>
      </c>
      <c r="B18" s="87" t="s">
        <v>20</v>
      </c>
      <c r="C18" s="114"/>
      <c r="D18" s="115"/>
      <c r="E18" s="262" t="s">
        <v>19</v>
      </c>
      <c r="F18" s="87" t="s">
        <v>20</v>
      </c>
      <c r="G18" s="263"/>
      <c r="H18" s="263"/>
    </row>
    <row r="19" spans="1:19" ht="21" customHeight="1" x14ac:dyDescent="0.25">
      <c r="A19" s="317"/>
      <c r="B19" s="87" t="s">
        <v>21</v>
      </c>
      <c r="C19" s="114"/>
      <c r="D19" s="115"/>
      <c r="E19" s="262"/>
      <c r="F19" s="87" t="s">
        <v>21</v>
      </c>
      <c r="G19" s="263"/>
      <c r="H19" s="263"/>
    </row>
    <row r="20" spans="1:19" ht="22.9" customHeight="1" x14ac:dyDescent="0.25">
      <c r="A20" s="318"/>
      <c r="B20" s="87" t="s">
        <v>22</v>
      </c>
      <c r="C20" s="114"/>
      <c r="D20" s="115"/>
      <c r="E20" s="262"/>
      <c r="F20" s="87" t="s">
        <v>22</v>
      </c>
      <c r="G20" s="263"/>
      <c r="H20" s="263"/>
    </row>
    <row r="25" spans="1:19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22.5" x14ac:dyDescent="0.25">
      <c r="A26" s="103" t="s">
        <v>1</v>
      </c>
      <c r="B26" s="98" t="s">
        <v>39</v>
      </c>
      <c r="C26" s="104" t="s">
        <v>2</v>
      </c>
      <c r="D26" s="101" t="s">
        <v>39</v>
      </c>
      <c r="E26" s="10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x14ac:dyDescent="0.25">
      <c r="A27" s="103" t="s">
        <v>28</v>
      </c>
      <c r="B27" s="98" t="s">
        <v>93</v>
      </c>
      <c r="C27" s="104" t="s">
        <v>69</v>
      </c>
      <c r="D27" s="99">
        <v>1170</v>
      </c>
      <c r="E27" s="10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5" customHeight="1" thickBot="1" x14ac:dyDescent="0.3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5" customHeight="1" thickBot="1" x14ac:dyDescent="0.3">
      <c r="A29" s="90"/>
      <c r="B29" s="91" t="s">
        <v>126</v>
      </c>
      <c r="C29" s="91"/>
      <c r="D29" s="91"/>
      <c r="E29" s="91"/>
      <c r="F29" s="91" t="s">
        <v>40</v>
      </c>
      <c r="G29" s="91"/>
      <c r="H29" s="91"/>
      <c r="I29" s="91" t="s">
        <v>41</v>
      </c>
      <c r="J29" s="91"/>
      <c r="K29" s="91"/>
      <c r="L29" s="91" t="s">
        <v>42</v>
      </c>
      <c r="M29" s="91"/>
      <c r="N29" s="91"/>
      <c r="O29" s="91" t="s">
        <v>43</v>
      </c>
      <c r="P29" s="270" t="s">
        <v>44</v>
      </c>
      <c r="Q29" s="271"/>
      <c r="R29" s="272"/>
      <c r="S29" s="273" t="s">
        <v>45</v>
      </c>
    </row>
    <row r="30" spans="1:19" ht="20.100000000000001" customHeight="1" x14ac:dyDescent="0.25">
      <c r="A30" s="322" t="s">
        <v>46</v>
      </c>
      <c r="B30" s="277" t="s">
        <v>47</v>
      </c>
      <c r="C30" s="279" t="s">
        <v>127</v>
      </c>
      <c r="D30" s="281" t="s">
        <v>128</v>
      </c>
      <c r="E30" s="283" t="s">
        <v>129</v>
      </c>
      <c r="F30" s="285" t="s">
        <v>130</v>
      </c>
      <c r="G30" s="281" t="s">
        <v>131</v>
      </c>
      <c r="H30" s="283" t="s">
        <v>132</v>
      </c>
      <c r="I30" s="285" t="s">
        <v>133</v>
      </c>
      <c r="J30" s="281" t="s">
        <v>134</v>
      </c>
      <c r="K30" s="283" t="s">
        <v>135</v>
      </c>
      <c r="L30" s="285" t="s">
        <v>136</v>
      </c>
      <c r="M30" s="281" t="s">
        <v>137</v>
      </c>
      <c r="N30" s="283" t="s">
        <v>138</v>
      </c>
      <c r="O30" s="285" t="s">
        <v>139</v>
      </c>
      <c r="P30" s="287" t="s">
        <v>140</v>
      </c>
      <c r="Q30" s="264" t="s">
        <v>141</v>
      </c>
      <c r="R30" s="267" t="s">
        <v>142</v>
      </c>
      <c r="S30" s="274"/>
    </row>
    <row r="31" spans="1:19" x14ac:dyDescent="0.25">
      <c r="A31" s="323"/>
      <c r="B31" s="278"/>
      <c r="C31" s="280"/>
      <c r="D31" s="282"/>
      <c r="E31" s="284"/>
      <c r="F31" s="286"/>
      <c r="G31" s="282"/>
      <c r="H31" s="284"/>
      <c r="I31" s="286"/>
      <c r="J31" s="282"/>
      <c r="K31" s="284"/>
      <c r="L31" s="286"/>
      <c r="M31" s="282"/>
      <c r="N31" s="284"/>
      <c r="O31" s="286"/>
      <c r="P31" s="288"/>
      <c r="Q31" s="265"/>
      <c r="R31" s="268"/>
      <c r="S31" s="275"/>
    </row>
    <row r="32" spans="1:19" x14ac:dyDescent="0.25">
      <c r="A32" s="324">
        <v>36</v>
      </c>
      <c r="B32" s="289" t="s">
        <v>149</v>
      </c>
      <c r="C32" s="290" t="s">
        <v>150</v>
      </c>
      <c r="D32" s="291">
        <v>0</v>
      </c>
      <c r="E32" s="292"/>
      <c r="F32" s="269"/>
      <c r="G32" s="291"/>
      <c r="H32" s="292"/>
      <c r="I32" s="269"/>
      <c r="J32" s="291">
        <v>0</v>
      </c>
      <c r="K32" s="292"/>
      <c r="L32" s="269"/>
      <c r="M32" s="291"/>
      <c r="N32" s="292"/>
      <c r="O32" s="269"/>
      <c r="P32" s="293"/>
      <c r="Q32" s="266"/>
      <c r="R32" s="269"/>
      <c r="S32" s="97"/>
    </row>
    <row r="33" spans="1:19" x14ac:dyDescent="0.25">
      <c r="A33" s="202" t="s">
        <v>359</v>
      </c>
      <c r="B33" s="203" t="s">
        <v>360</v>
      </c>
      <c r="C33" s="204" t="s">
        <v>338</v>
      </c>
      <c r="D33" s="205">
        <v>1500</v>
      </c>
      <c r="E33" s="96"/>
      <c r="F33" s="308">
        <f t="shared" ref="F33:F34" si="10">E33/D33</f>
        <v>0</v>
      </c>
      <c r="G33" s="205">
        <v>1600</v>
      </c>
      <c r="H33" s="96"/>
      <c r="I33" s="308">
        <f t="shared" ref="I33:I34" si="11">H33/G33</f>
        <v>0</v>
      </c>
      <c r="J33" s="205">
        <v>1600</v>
      </c>
      <c r="K33" s="96"/>
      <c r="L33" s="308">
        <f t="shared" ref="L33:L34" si="12">K33/J33</f>
        <v>0</v>
      </c>
      <c r="M33" s="205">
        <v>1600</v>
      </c>
      <c r="N33" s="96"/>
      <c r="O33" s="308">
        <f t="shared" ref="O33:O34" si="13">N33/M33</f>
        <v>0</v>
      </c>
      <c r="P33" s="309">
        <f t="shared" ref="P33:P34" si="14">O33-F33</f>
        <v>0</v>
      </c>
      <c r="Q33" s="310">
        <f t="shared" ref="Q33:Q34" si="15">O33-I33</f>
        <v>0</v>
      </c>
      <c r="R33" s="311">
        <f t="shared" ref="R33:R34" si="16">O33-L33</f>
        <v>0</v>
      </c>
      <c r="S33" s="97"/>
    </row>
    <row r="34" spans="1:19" x14ac:dyDescent="0.25">
      <c r="A34" s="202" t="s">
        <v>361</v>
      </c>
      <c r="B34" s="203" t="s">
        <v>362</v>
      </c>
      <c r="C34" s="204" t="s">
        <v>346</v>
      </c>
      <c r="D34" s="205">
        <v>5</v>
      </c>
      <c r="E34" s="96"/>
      <c r="F34" s="308">
        <f t="shared" si="10"/>
        <v>0</v>
      </c>
      <c r="G34" s="205">
        <v>5</v>
      </c>
      <c r="H34" s="96"/>
      <c r="I34" s="308">
        <f t="shared" si="11"/>
        <v>0</v>
      </c>
      <c r="J34" s="205">
        <v>5</v>
      </c>
      <c r="K34" s="96"/>
      <c r="L34" s="308">
        <f t="shared" si="12"/>
        <v>0</v>
      </c>
      <c r="M34" s="205">
        <v>5</v>
      </c>
      <c r="N34" s="96"/>
      <c r="O34" s="308">
        <f t="shared" si="13"/>
        <v>0</v>
      </c>
      <c r="P34" s="309">
        <f t="shared" si="14"/>
        <v>0</v>
      </c>
      <c r="Q34" s="310">
        <f t="shared" si="15"/>
        <v>0</v>
      </c>
      <c r="R34" s="311">
        <f t="shared" si="16"/>
        <v>0</v>
      </c>
      <c r="S34" s="97"/>
    </row>
    <row r="36" spans="1:19" ht="19.149999999999999" customHeight="1" x14ac:dyDescent="0.25">
      <c r="A36" s="316" t="s">
        <v>66</v>
      </c>
      <c r="B36" s="87" t="s">
        <v>20</v>
      </c>
      <c r="C36" s="114"/>
      <c r="D36" s="115"/>
      <c r="E36" s="262" t="s">
        <v>19</v>
      </c>
      <c r="F36" s="87" t="s">
        <v>20</v>
      </c>
      <c r="G36" s="263"/>
      <c r="H36" s="263"/>
    </row>
    <row r="37" spans="1:19" ht="21" customHeight="1" x14ac:dyDescent="0.25">
      <c r="A37" s="317"/>
      <c r="B37" s="87" t="s">
        <v>21</v>
      </c>
      <c r="C37" s="114"/>
      <c r="D37" s="115"/>
      <c r="E37" s="262"/>
      <c r="F37" s="87" t="s">
        <v>21</v>
      </c>
      <c r="G37" s="263"/>
      <c r="H37" s="263"/>
    </row>
    <row r="38" spans="1:19" ht="22.9" customHeight="1" x14ac:dyDescent="0.25">
      <c r="A38" s="318"/>
      <c r="B38" s="87" t="s">
        <v>22</v>
      </c>
      <c r="C38" s="114"/>
      <c r="D38" s="115"/>
      <c r="E38" s="262"/>
      <c r="F38" s="87" t="s">
        <v>22</v>
      </c>
      <c r="G38" s="263"/>
      <c r="H38" s="263"/>
    </row>
    <row r="43" spans="1:19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22.5" x14ac:dyDescent="0.25">
      <c r="A44" s="103" t="s">
        <v>1</v>
      </c>
      <c r="B44" s="98" t="s">
        <v>39</v>
      </c>
      <c r="C44" s="104" t="s">
        <v>2</v>
      </c>
      <c r="D44" s="101" t="s">
        <v>39</v>
      </c>
      <c r="E44" s="10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x14ac:dyDescent="0.25">
      <c r="A45" s="103" t="s">
        <v>28</v>
      </c>
      <c r="B45" s="98" t="s">
        <v>95</v>
      </c>
      <c r="C45" s="104" t="s">
        <v>69</v>
      </c>
      <c r="D45" s="99">
        <v>3140</v>
      </c>
      <c r="E45" s="10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5" customHeight="1" thickBot="1" x14ac:dyDescent="0.3">
      <c r="A46" s="3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5" customHeight="1" thickBot="1" x14ac:dyDescent="0.3">
      <c r="A47" s="90"/>
      <c r="B47" s="91" t="s">
        <v>126</v>
      </c>
      <c r="C47" s="91"/>
      <c r="D47" s="91"/>
      <c r="E47" s="91"/>
      <c r="F47" s="91" t="s">
        <v>40</v>
      </c>
      <c r="G47" s="91"/>
      <c r="H47" s="91"/>
      <c r="I47" s="91" t="s">
        <v>41</v>
      </c>
      <c r="J47" s="91"/>
      <c r="K47" s="91"/>
      <c r="L47" s="91" t="s">
        <v>42</v>
      </c>
      <c r="M47" s="91"/>
      <c r="N47" s="91"/>
      <c r="O47" s="91" t="s">
        <v>43</v>
      </c>
      <c r="P47" s="270" t="s">
        <v>44</v>
      </c>
      <c r="Q47" s="271"/>
      <c r="R47" s="272"/>
      <c r="S47" s="273" t="s">
        <v>45</v>
      </c>
    </row>
    <row r="48" spans="1:19" ht="20.100000000000001" customHeight="1" x14ac:dyDescent="0.25">
      <c r="A48" s="322" t="s">
        <v>46</v>
      </c>
      <c r="B48" s="277" t="s">
        <v>47</v>
      </c>
      <c r="C48" s="279" t="s">
        <v>127</v>
      </c>
      <c r="D48" s="281" t="s">
        <v>128</v>
      </c>
      <c r="E48" s="283" t="s">
        <v>129</v>
      </c>
      <c r="F48" s="285" t="s">
        <v>130</v>
      </c>
      <c r="G48" s="281" t="s">
        <v>131</v>
      </c>
      <c r="H48" s="283" t="s">
        <v>132</v>
      </c>
      <c r="I48" s="285" t="s">
        <v>133</v>
      </c>
      <c r="J48" s="281" t="s">
        <v>134</v>
      </c>
      <c r="K48" s="283" t="s">
        <v>135</v>
      </c>
      <c r="L48" s="285" t="s">
        <v>136</v>
      </c>
      <c r="M48" s="281" t="s">
        <v>137</v>
      </c>
      <c r="N48" s="283" t="s">
        <v>138</v>
      </c>
      <c r="O48" s="285" t="s">
        <v>139</v>
      </c>
      <c r="P48" s="287" t="s">
        <v>140</v>
      </c>
      <c r="Q48" s="264" t="s">
        <v>141</v>
      </c>
      <c r="R48" s="267" t="s">
        <v>142</v>
      </c>
      <c r="S48" s="274"/>
    </row>
    <row r="49" spans="1:19" x14ac:dyDescent="0.25">
      <c r="A49" s="323"/>
      <c r="B49" s="278"/>
      <c r="C49" s="280"/>
      <c r="D49" s="282"/>
      <c r="E49" s="284"/>
      <c r="F49" s="286"/>
      <c r="G49" s="282"/>
      <c r="H49" s="284"/>
      <c r="I49" s="286"/>
      <c r="J49" s="282"/>
      <c r="K49" s="284"/>
      <c r="L49" s="286"/>
      <c r="M49" s="282"/>
      <c r="N49" s="284"/>
      <c r="O49" s="286"/>
      <c r="P49" s="288"/>
      <c r="Q49" s="265"/>
      <c r="R49" s="268"/>
      <c r="S49" s="275"/>
    </row>
    <row r="50" spans="1:19" x14ac:dyDescent="0.25">
      <c r="A50" s="324">
        <v>42</v>
      </c>
      <c r="B50" s="289" t="s">
        <v>153</v>
      </c>
      <c r="C50" s="290" t="s">
        <v>154</v>
      </c>
      <c r="D50" s="291">
        <v>87.5</v>
      </c>
      <c r="E50" s="292"/>
      <c r="F50" s="269"/>
      <c r="G50" s="291"/>
      <c r="H50" s="292"/>
      <c r="I50" s="269"/>
      <c r="J50" s="291">
        <v>66.67</v>
      </c>
      <c r="K50" s="292"/>
      <c r="L50" s="269"/>
      <c r="M50" s="291"/>
      <c r="N50" s="292"/>
      <c r="O50" s="269"/>
      <c r="P50" s="293"/>
      <c r="Q50" s="266"/>
      <c r="R50" s="269"/>
      <c r="S50" s="97"/>
    </row>
    <row r="51" spans="1:19" x14ac:dyDescent="0.25">
      <c r="A51" s="202" t="s">
        <v>363</v>
      </c>
      <c r="B51" s="203" t="s">
        <v>364</v>
      </c>
      <c r="C51" s="204" t="s">
        <v>338</v>
      </c>
      <c r="D51" s="205">
        <v>1</v>
      </c>
      <c r="E51" s="96"/>
      <c r="F51" s="308">
        <f t="shared" ref="F51:F54" si="17">E51/D51</f>
        <v>0</v>
      </c>
      <c r="G51" s="205">
        <v>1</v>
      </c>
      <c r="H51" s="96"/>
      <c r="I51" s="308">
        <f t="shared" ref="I51:I54" si="18">H51/G51</f>
        <v>0</v>
      </c>
      <c r="J51" s="205">
        <v>1</v>
      </c>
      <c r="K51" s="96"/>
      <c r="L51" s="308">
        <f t="shared" ref="L51:L54" si="19">K51/J51</f>
        <v>0</v>
      </c>
      <c r="M51" s="205">
        <v>0</v>
      </c>
      <c r="N51" s="96"/>
      <c r="O51" s="308" t="e">
        <f t="shared" ref="O51:O54" si="20">N51/M51</f>
        <v>#DIV/0!</v>
      </c>
      <c r="P51" s="309" t="e">
        <f t="shared" ref="P51:P54" si="21">O51-F51</f>
        <v>#DIV/0!</v>
      </c>
      <c r="Q51" s="310" t="e">
        <f t="shared" ref="Q51:Q54" si="22">O51-I51</f>
        <v>#DIV/0!</v>
      </c>
      <c r="R51" s="311" t="e">
        <f t="shared" ref="R51:R54" si="23">O51-L51</f>
        <v>#DIV/0!</v>
      </c>
      <c r="S51" s="97"/>
    </row>
    <row r="52" spans="1:19" x14ac:dyDescent="0.25">
      <c r="A52" s="202" t="s">
        <v>365</v>
      </c>
      <c r="B52" s="203" t="s">
        <v>366</v>
      </c>
      <c r="C52" s="204" t="s">
        <v>338</v>
      </c>
      <c r="D52" s="205">
        <v>1</v>
      </c>
      <c r="E52" s="96"/>
      <c r="F52" s="308">
        <f t="shared" si="17"/>
        <v>0</v>
      </c>
      <c r="G52" s="205">
        <v>6</v>
      </c>
      <c r="H52" s="96"/>
      <c r="I52" s="308">
        <f t="shared" si="18"/>
        <v>0</v>
      </c>
      <c r="J52" s="205">
        <v>6</v>
      </c>
      <c r="K52" s="96"/>
      <c r="L52" s="308">
        <f t="shared" si="19"/>
        <v>0</v>
      </c>
      <c r="M52" s="205">
        <v>0</v>
      </c>
      <c r="N52" s="96"/>
      <c r="O52" s="308" t="e">
        <f t="shared" si="20"/>
        <v>#DIV/0!</v>
      </c>
      <c r="P52" s="309" t="e">
        <f t="shared" si="21"/>
        <v>#DIV/0!</v>
      </c>
      <c r="Q52" s="310" t="e">
        <f t="shared" si="22"/>
        <v>#DIV/0!</v>
      </c>
      <c r="R52" s="311" t="e">
        <f t="shared" si="23"/>
        <v>#DIV/0!</v>
      </c>
      <c r="S52" s="97"/>
    </row>
    <row r="53" spans="1:19" x14ac:dyDescent="0.25">
      <c r="A53" s="202" t="s">
        <v>367</v>
      </c>
      <c r="B53" s="203" t="s">
        <v>368</v>
      </c>
      <c r="C53" s="204" t="s">
        <v>338</v>
      </c>
      <c r="D53" s="205">
        <v>30</v>
      </c>
      <c r="E53" s="96"/>
      <c r="F53" s="308">
        <f t="shared" si="17"/>
        <v>0</v>
      </c>
      <c r="G53" s="205">
        <v>40</v>
      </c>
      <c r="H53" s="96"/>
      <c r="I53" s="308">
        <f t="shared" si="18"/>
        <v>0</v>
      </c>
      <c r="J53" s="205">
        <v>40</v>
      </c>
      <c r="K53" s="96"/>
      <c r="L53" s="308">
        <f t="shared" si="19"/>
        <v>0</v>
      </c>
      <c r="M53" s="205">
        <v>40</v>
      </c>
      <c r="N53" s="96"/>
      <c r="O53" s="308">
        <f t="shared" si="20"/>
        <v>0</v>
      </c>
      <c r="P53" s="309">
        <f t="shared" si="21"/>
        <v>0</v>
      </c>
      <c r="Q53" s="310">
        <f t="shared" si="22"/>
        <v>0</v>
      </c>
      <c r="R53" s="311">
        <f t="shared" si="23"/>
        <v>0</v>
      </c>
      <c r="S53" s="97"/>
    </row>
    <row r="54" spans="1:19" x14ac:dyDescent="0.25">
      <c r="A54" s="202" t="s">
        <v>369</v>
      </c>
      <c r="B54" s="203" t="s">
        <v>370</v>
      </c>
      <c r="C54" s="204" t="s">
        <v>338</v>
      </c>
      <c r="D54" s="205">
        <v>50</v>
      </c>
      <c r="E54" s="96"/>
      <c r="F54" s="308">
        <f t="shared" si="17"/>
        <v>0</v>
      </c>
      <c r="G54" s="205">
        <v>60</v>
      </c>
      <c r="H54" s="96"/>
      <c r="I54" s="308">
        <f t="shared" si="18"/>
        <v>0</v>
      </c>
      <c r="J54" s="205">
        <v>60</v>
      </c>
      <c r="K54" s="96"/>
      <c r="L54" s="308">
        <f t="shared" si="19"/>
        <v>0</v>
      </c>
      <c r="M54" s="205">
        <v>50</v>
      </c>
      <c r="N54" s="96"/>
      <c r="O54" s="308">
        <f t="shared" si="20"/>
        <v>0</v>
      </c>
      <c r="P54" s="309">
        <f t="shared" si="21"/>
        <v>0</v>
      </c>
      <c r="Q54" s="310">
        <f t="shared" si="22"/>
        <v>0</v>
      </c>
      <c r="R54" s="311">
        <f t="shared" si="23"/>
        <v>0</v>
      </c>
      <c r="S54" s="97"/>
    </row>
    <row r="56" spans="1:19" ht="19.149999999999999" customHeight="1" x14ac:dyDescent="0.25">
      <c r="A56" s="316" t="s">
        <v>66</v>
      </c>
      <c r="B56" s="87" t="s">
        <v>20</v>
      </c>
      <c r="C56" s="114"/>
      <c r="D56" s="115"/>
      <c r="E56" s="262" t="s">
        <v>19</v>
      </c>
      <c r="F56" s="87" t="s">
        <v>20</v>
      </c>
      <c r="G56" s="263"/>
      <c r="H56" s="263"/>
    </row>
    <row r="57" spans="1:19" ht="21" customHeight="1" x14ac:dyDescent="0.25">
      <c r="A57" s="317"/>
      <c r="B57" s="87" t="s">
        <v>21</v>
      </c>
      <c r="C57" s="114"/>
      <c r="D57" s="115"/>
      <c r="E57" s="262"/>
      <c r="F57" s="87" t="s">
        <v>21</v>
      </c>
      <c r="G57" s="263"/>
      <c r="H57" s="263"/>
    </row>
    <row r="58" spans="1:19" ht="22.9" customHeight="1" x14ac:dyDescent="0.25">
      <c r="A58" s="318"/>
      <c r="B58" s="87" t="s">
        <v>22</v>
      </c>
      <c r="C58" s="114"/>
      <c r="D58" s="115"/>
      <c r="E58" s="262"/>
      <c r="F58" s="87" t="s">
        <v>22</v>
      </c>
      <c r="G58" s="263"/>
      <c r="H58" s="263"/>
    </row>
    <row r="63" spans="1:19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22.5" x14ac:dyDescent="0.25">
      <c r="A64" s="103" t="s">
        <v>1</v>
      </c>
      <c r="B64" s="98" t="s">
        <v>39</v>
      </c>
      <c r="C64" s="104" t="s">
        <v>2</v>
      </c>
      <c r="D64" s="101" t="s">
        <v>39</v>
      </c>
      <c r="E64" s="10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x14ac:dyDescent="0.25">
      <c r="A65" s="103" t="s">
        <v>28</v>
      </c>
      <c r="B65" s="98" t="s">
        <v>96</v>
      </c>
      <c r="C65" s="104" t="s">
        <v>69</v>
      </c>
      <c r="D65" s="99">
        <v>3280</v>
      </c>
      <c r="E65" s="10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5" customHeight="1" thickBot="1" x14ac:dyDescent="0.3">
      <c r="A66" s="3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5" customHeight="1" thickBot="1" x14ac:dyDescent="0.3">
      <c r="A67" s="90"/>
      <c r="B67" s="91" t="s">
        <v>126</v>
      </c>
      <c r="C67" s="91"/>
      <c r="D67" s="91"/>
      <c r="E67" s="91"/>
      <c r="F67" s="91" t="s">
        <v>40</v>
      </c>
      <c r="G67" s="91"/>
      <c r="H67" s="91"/>
      <c r="I67" s="91" t="s">
        <v>41</v>
      </c>
      <c r="J67" s="91"/>
      <c r="K67" s="91"/>
      <c r="L67" s="91" t="s">
        <v>42</v>
      </c>
      <c r="M67" s="91"/>
      <c r="N67" s="91"/>
      <c r="O67" s="91" t="s">
        <v>43</v>
      </c>
      <c r="P67" s="270" t="s">
        <v>44</v>
      </c>
      <c r="Q67" s="271"/>
      <c r="R67" s="272"/>
      <c r="S67" s="273" t="s">
        <v>45</v>
      </c>
    </row>
    <row r="68" spans="1:19" ht="20.100000000000001" customHeight="1" x14ac:dyDescent="0.25">
      <c r="A68" s="322" t="s">
        <v>46</v>
      </c>
      <c r="B68" s="277" t="s">
        <v>47</v>
      </c>
      <c r="C68" s="279" t="s">
        <v>127</v>
      </c>
      <c r="D68" s="281" t="s">
        <v>128</v>
      </c>
      <c r="E68" s="283" t="s">
        <v>129</v>
      </c>
      <c r="F68" s="285" t="s">
        <v>130</v>
      </c>
      <c r="G68" s="281" t="s">
        <v>131</v>
      </c>
      <c r="H68" s="283" t="s">
        <v>132</v>
      </c>
      <c r="I68" s="285" t="s">
        <v>133</v>
      </c>
      <c r="J68" s="281" t="s">
        <v>134</v>
      </c>
      <c r="K68" s="283" t="s">
        <v>135</v>
      </c>
      <c r="L68" s="285" t="s">
        <v>136</v>
      </c>
      <c r="M68" s="281" t="s">
        <v>137</v>
      </c>
      <c r="N68" s="283" t="s">
        <v>138</v>
      </c>
      <c r="O68" s="285" t="s">
        <v>139</v>
      </c>
      <c r="P68" s="287" t="s">
        <v>140</v>
      </c>
      <c r="Q68" s="264" t="s">
        <v>141</v>
      </c>
      <c r="R68" s="267" t="s">
        <v>142</v>
      </c>
      <c r="S68" s="274"/>
    </row>
    <row r="69" spans="1:19" x14ac:dyDescent="0.25">
      <c r="A69" s="323"/>
      <c r="B69" s="278"/>
      <c r="C69" s="280"/>
      <c r="D69" s="282"/>
      <c r="E69" s="284"/>
      <c r="F69" s="286"/>
      <c r="G69" s="282"/>
      <c r="H69" s="284"/>
      <c r="I69" s="286"/>
      <c r="J69" s="282"/>
      <c r="K69" s="284"/>
      <c r="L69" s="286"/>
      <c r="M69" s="282"/>
      <c r="N69" s="284"/>
      <c r="O69" s="286"/>
      <c r="P69" s="288"/>
      <c r="Q69" s="265"/>
      <c r="R69" s="268"/>
      <c r="S69" s="275"/>
    </row>
    <row r="70" spans="1:19" x14ac:dyDescent="0.25">
      <c r="A70" s="324">
        <v>55</v>
      </c>
      <c r="B70" s="289" t="s">
        <v>157</v>
      </c>
      <c r="C70" s="290" t="s">
        <v>158</v>
      </c>
      <c r="D70" s="291">
        <v>0</v>
      </c>
      <c r="E70" s="292"/>
      <c r="F70" s="269"/>
      <c r="G70" s="291"/>
      <c r="H70" s="292"/>
      <c r="I70" s="269"/>
      <c r="J70" s="291"/>
      <c r="K70" s="292"/>
      <c r="L70" s="269"/>
      <c r="M70" s="291"/>
      <c r="N70" s="292"/>
      <c r="O70" s="269"/>
      <c r="P70" s="293"/>
      <c r="Q70" s="266"/>
      <c r="R70" s="269"/>
      <c r="S70" s="97"/>
    </row>
    <row r="71" spans="1:19" x14ac:dyDescent="0.25">
      <c r="A71" s="202" t="s">
        <v>371</v>
      </c>
      <c r="B71" s="203" t="s">
        <v>372</v>
      </c>
      <c r="C71" s="204" t="s">
        <v>345</v>
      </c>
      <c r="D71" s="205">
        <v>40</v>
      </c>
      <c r="E71" s="96"/>
      <c r="F71" s="308">
        <f t="shared" ref="F71:F74" si="24">E71/D71</f>
        <v>0</v>
      </c>
      <c r="G71" s="205">
        <v>40</v>
      </c>
      <c r="H71" s="96"/>
      <c r="I71" s="308">
        <f t="shared" ref="I71:I74" si="25">H71/G71</f>
        <v>0</v>
      </c>
      <c r="J71" s="205">
        <v>40</v>
      </c>
      <c r="K71" s="96"/>
      <c r="L71" s="308">
        <f t="shared" ref="L71:L74" si="26">K71/J71</f>
        <v>0</v>
      </c>
      <c r="M71" s="205">
        <v>40</v>
      </c>
      <c r="N71" s="96"/>
      <c r="O71" s="308">
        <f t="shared" ref="O71:O74" si="27">N71/M71</f>
        <v>0</v>
      </c>
      <c r="P71" s="309">
        <f t="shared" ref="P71:P74" si="28">O71-F71</f>
        <v>0</v>
      </c>
      <c r="Q71" s="310">
        <f t="shared" ref="Q71:Q74" si="29">O71-I71</f>
        <v>0</v>
      </c>
      <c r="R71" s="311">
        <f t="shared" ref="R71:R74" si="30">O71-L71</f>
        <v>0</v>
      </c>
      <c r="S71" s="97"/>
    </row>
    <row r="72" spans="1:19" ht="22.5" x14ac:dyDescent="0.25">
      <c r="A72" s="202" t="s">
        <v>373</v>
      </c>
      <c r="B72" s="203" t="s">
        <v>374</v>
      </c>
      <c r="C72" s="204" t="s">
        <v>339</v>
      </c>
      <c r="D72" s="205">
        <v>486</v>
      </c>
      <c r="E72" s="96"/>
      <c r="F72" s="308">
        <f t="shared" si="24"/>
        <v>0</v>
      </c>
      <c r="G72" s="205">
        <v>486</v>
      </c>
      <c r="H72" s="96"/>
      <c r="I72" s="308">
        <f t="shared" si="25"/>
        <v>0</v>
      </c>
      <c r="J72" s="205">
        <v>486</v>
      </c>
      <c r="K72" s="96"/>
      <c r="L72" s="308">
        <f t="shared" si="26"/>
        <v>0</v>
      </c>
      <c r="M72" s="205">
        <v>486</v>
      </c>
      <c r="N72" s="96"/>
      <c r="O72" s="308">
        <f t="shared" si="27"/>
        <v>0</v>
      </c>
      <c r="P72" s="309">
        <f t="shared" si="28"/>
        <v>0</v>
      </c>
      <c r="Q72" s="310">
        <f t="shared" si="29"/>
        <v>0</v>
      </c>
      <c r="R72" s="311">
        <f t="shared" si="30"/>
        <v>0</v>
      </c>
      <c r="S72" s="97"/>
    </row>
    <row r="73" spans="1:19" x14ac:dyDescent="0.25">
      <c r="A73" s="202" t="s">
        <v>375</v>
      </c>
      <c r="B73" s="203" t="s">
        <v>376</v>
      </c>
      <c r="C73" s="204" t="s">
        <v>338</v>
      </c>
      <c r="D73" s="205">
        <v>28</v>
      </c>
      <c r="E73" s="96"/>
      <c r="F73" s="308">
        <f t="shared" si="24"/>
        <v>0</v>
      </c>
      <c r="G73" s="205">
        <v>30</v>
      </c>
      <c r="H73" s="96"/>
      <c r="I73" s="308">
        <f t="shared" si="25"/>
        <v>0</v>
      </c>
      <c r="J73" s="205">
        <v>30</v>
      </c>
      <c r="K73" s="96"/>
      <c r="L73" s="308">
        <f t="shared" si="26"/>
        <v>0</v>
      </c>
      <c r="M73" s="205">
        <v>32</v>
      </c>
      <c r="N73" s="96"/>
      <c r="O73" s="308">
        <f t="shared" si="27"/>
        <v>0</v>
      </c>
      <c r="P73" s="309">
        <f t="shared" si="28"/>
        <v>0</v>
      </c>
      <c r="Q73" s="310">
        <f t="shared" si="29"/>
        <v>0</v>
      </c>
      <c r="R73" s="311">
        <f t="shared" si="30"/>
        <v>0</v>
      </c>
      <c r="S73" s="97"/>
    </row>
    <row r="74" spans="1:19" x14ac:dyDescent="0.25">
      <c r="A74" s="202" t="s">
        <v>377</v>
      </c>
      <c r="B74" s="203" t="s">
        <v>378</v>
      </c>
      <c r="C74" s="204" t="s">
        <v>338</v>
      </c>
      <c r="D74" s="205"/>
      <c r="E74" s="96"/>
      <c r="F74" s="308" t="e">
        <f t="shared" si="24"/>
        <v>#DIV/0!</v>
      </c>
      <c r="G74" s="95">
        <v>2</v>
      </c>
      <c r="H74" s="96"/>
      <c r="I74" s="308">
        <f t="shared" si="25"/>
        <v>0</v>
      </c>
      <c r="J74" s="95">
        <v>2</v>
      </c>
      <c r="K74" s="96"/>
      <c r="L74" s="308">
        <f t="shared" si="26"/>
        <v>0</v>
      </c>
      <c r="M74" s="95">
        <v>0</v>
      </c>
      <c r="N74" s="96"/>
      <c r="O74" s="308" t="e">
        <f t="shared" si="27"/>
        <v>#DIV/0!</v>
      </c>
      <c r="P74" s="309" t="e">
        <f t="shared" si="28"/>
        <v>#DIV/0!</v>
      </c>
      <c r="Q74" s="310" t="e">
        <f t="shared" si="29"/>
        <v>#DIV/0!</v>
      </c>
      <c r="R74" s="311" t="e">
        <f t="shared" si="30"/>
        <v>#DIV/0!</v>
      </c>
      <c r="S74" s="97"/>
    </row>
    <row r="76" spans="1:19" ht="19.149999999999999" customHeight="1" x14ac:dyDescent="0.25">
      <c r="A76" s="316" t="s">
        <v>66</v>
      </c>
      <c r="B76" s="87" t="s">
        <v>20</v>
      </c>
      <c r="C76" s="114"/>
      <c r="D76" s="115"/>
      <c r="E76" s="262" t="s">
        <v>19</v>
      </c>
      <c r="F76" s="87" t="s">
        <v>20</v>
      </c>
      <c r="G76" s="263"/>
      <c r="H76" s="263"/>
    </row>
    <row r="77" spans="1:19" ht="21" customHeight="1" x14ac:dyDescent="0.25">
      <c r="A77" s="317"/>
      <c r="B77" s="87" t="s">
        <v>21</v>
      </c>
      <c r="C77" s="114"/>
      <c r="D77" s="115"/>
      <c r="E77" s="262"/>
      <c r="F77" s="87" t="s">
        <v>21</v>
      </c>
      <c r="G77" s="263"/>
      <c r="H77" s="263"/>
    </row>
    <row r="78" spans="1:19" ht="22.9" customHeight="1" x14ac:dyDescent="0.25">
      <c r="A78" s="318"/>
      <c r="B78" s="87" t="s">
        <v>22</v>
      </c>
      <c r="C78" s="114"/>
      <c r="D78" s="115"/>
      <c r="E78" s="262"/>
      <c r="F78" s="87" t="s">
        <v>22</v>
      </c>
      <c r="G78" s="263"/>
      <c r="H78" s="263"/>
    </row>
    <row r="83" spans="1:19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22.5" x14ac:dyDescent="0.25">
      <c r="A84" s="103" t="s">
        <v>1</v>
      </c>
      <c r="B84" s="98" t="s">
        <v>39</v>
      </c>
      <c r="C84" s="104" t="s">
        <v>2</v>
      </c>
      <c r="D84" s="101" t="s">
        <v>39</v>
      </c>
      <c r="E84" s="10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x14ac:dyDescent="0.25">
      <c r="A85" s="103" t="s">
        <v>28</v>
      </c>
      <c r="B85" s="98" t="s">
        <v>97</v>
      </c>
      <c r="C85" s="104" t="s">
        <v>69</v>
      </c>
      <c r="D85" s="99">
        <v>4130</v>
      </c>
      <c r="E85" s="102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5" customHeight="1" thickBot="1" x14ac:dyDescent="0.3">
      <c r="A86" s="33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5" customHeight="1" thickBot="1" x14ac:dyDescent="0.3">
      <c r="A87" s="90"/>
      <c r="B87" s="91" t="s">
        <v>126</v>
      </c>
      <c r="C87" s="91"/>
      <c r="D87" s="91"/>
      <c r="E87" s="91"/>
      <c r="F87" s="91" t="s">
        <v>40</v>
      </c>
      <c r="G87" s="91"/>
      <c r="H87" s="91"/>
      <c r="I87" s="91" t="s">
        <v>41</v>
      </c>
      <c r="J87" s="91"/>
      <c r="K87" s="91"/>
      <c r="L87" s="91" t="s">
        <v>42</v>
      </c>
      <c r="M87" s="91"/>
      <c r="N87" s="91"/>
      <c r="O87" s="91" t="s">
        <v>43</v>
      </c>
      <c r="P87" s="270" t="s">
        <v>44</v>
      </c>
      <c r="Q87" s="271"/>
      <c r="R87" s="272"/>
      <c r="S87" s="273" t="s">
        <v>45</v>
      </c>
    </row>
    <row r="88" spans="1:19" ht="20.100000000000001" customHeight="1" x14ac:dyDescent="0.25">
      <c r="A88" s="322" t="s">
        <v>46</v>
      </c>
      <c r="B88" s="277" t="s">
        <v>47</v>
      </c>
      <c r="C88" s="279" t="s">
        <v>127</v>
      </c>
      <c r="D88" s="281" t="s">
        <v>128</v>
      </c>
      <c r="E88" s="283" t="s">
        <v>129</v>
      </c>
      <c r="F88" s="285" t="s">
        <v>130</v>
      </c>
      <c r="G88" s="281" t="s">
        <v>131</v>
      </c>
      <c r="H88" s="283" t="s">
        <v>132</v>
      </c>
      <c r="I88" s="285" t="s">
        <v>133</v>
      </c>
      <c r="J88" s="281" t="s">
        <v>134</v>
      </c>
      <c r="K88" s="283" t="s">
        <v>135</v>
      </c>
      <c r="L88" s="285" t="s">
        <v>136</v>
      </c>
      <c r="M88" s="281" t="s">
        <v>137</v>
      </c>
      <c r="N88" s="283" t="s">
        <v>138</v>
      </c>
      <c r="O88" s="285" t="s">
        <v>139</v>
      </c>
      <c r="P88" s="287" t="s">
        <v>140</v>
      </c>
      <c r="Q88" s="264" t="s">
        <v>141</v>
      </c>
      <c r="R88" s="267" t="s">
        <v>142</v>
      </c>
      <c r="S88" s="274"/>
    </row>
    <row r="89" spans="1:19" x14ac:dyDescent="0.25">
      <c r="A89" s="323"/>
      <c r="B89" s="278"/>
      <c r="C89" s="280"/>
      <c r="D89" s="282"/>
      <c r="E89" s="284"/>
      <c r="F89" s="286"/>
      <c r="G89" s="282"/>
      <c r="H89" s="284"/>
      <c r="I89" s="286"/>
      <c r="J89" s="282"/>
      <c r="K89" s="284"/>
      <c r="L89" s="286"/>
      <c r="M89" s="282"/>
      <c r="N89" s="284"/>
      <c r="O89" s="286"/>
      <c r="P89" s="288"/>
      <c r="Q89" s="265"/>
      <c r="R89" s="268"/>
      <c r="S89" s="275"/>
    </row>
    <row r="90" spans="1:19" x14ac:dyDescent="0.25">
      <c r="A90" s="324">
        <v>92</v>
      </c>
      <c r="B90" s="289" t="s">
        <v>162</v>
      </c>
      <c r="C90" s="290" t="s">
        <v>163</v>
      </c>
      <c r="D90" s="291">
        <v>25</v>
      </c>
      <c r="E90" s="292"/>
      <c r="F90" s="269"/>
      <c r="G90" s="291"/>
      <c r="H90" s="292"/>
      <c r="I90" s="269"/>
      <c r="J90" s="291">
        <v>0</v>
      </c>
      <c r="K90" s="292"/>
      <c r="L90" s="269"/>
      <c r="M90" s="291"/>
      <c r="N90" s="292"/>
      <c r="O90" s="269"/>
      <c r="P90" s="293"/>
      <c r="Q90" s="266"/>
      <c r="R90" s="269"/>
      <c r="S90" s="97"/>
    </row>
    <row r="91" spans="1:19" ht="22.5" x14ac:dyDescent="0.25">
      <c r="A91" s="202" t="s">
        <v>379</v>
      </c>
      <c r="B91" s="203" t="s">
        <v>380</v>
      </c>
      <c r="C91" s="204" t="s">
        <v>344</v>
      </c>
      <c r="D91" s="205">
        <v>5</v>
      </c>
      <c r="E91" s="96"/>
      <c r="F91" s="308">
        <f t="shared" ref="F91" si="31">E91/D91</f>
        <v>0</v>
      </c>
      <c r="G91" s="95">
        <v>5</v>
      </c>
      <c r="H91" s="96"/>
      <c r="I91" s="308">
        <f t="shared" ref="I91" si="32">H91/G91</f>
        <v>0</v>
      </c>
      <c r="J91" s="95">
        <v>5</v>
      </c>
      <c r="K91" s="96"/>
      <c r="L91" s="308">
        <f t="shared" ref="L91" si="33">K91/J91</f>
        <v>0</v>
      </c>
      <c r="M91" s="95">
        <v>5</v>
      </c>
      <c r="N91" s="96"/>
      <c r="O91" s="308">
        <f t="shared" ref="O91" si="34">N91/M91</f>
        <v>0</v>
      </c>
      <c r="P91" s="309">
        <f t="shared" ref="P91" si="35">O91-F91</f>
        <v>0</v>
      </c>
      <c r="Q91" s="310">
        <f t="shared" ref="Q91" si="36">O91-I91</f>
        <v>0</v>
      </c>
      <c r="R91" s="311">
        <f t="shared" ref="R91" si="37">O91-L91</f>
        <v>0</v>
      </c>
      <c r="S91" s="97"/>
    </row>
    <row r="93" spans="1:19" ht="19.149999999999999" customHeight="1" x14ac:dyDescent="0.25">
      <c r="A93" s="316" t="s">
        <v>66</v>
      </c>
      <c r="B93" s="87" t="s">
        <v>20</v>
      </c>
      <c r="C93" s="114"/>
      <c r="D93" s="115"/>
      <c r="E93" s="262" t="s">
        <v>19</v>
      </c>
      <c r="F93" s="87" t="s">
        <v>20</v>
      </c>
      <c r="G93" s="263"/>
      <c r="H93" s="263"/>
    </row>
    <row r="94" spans="1:19" ht="21" customHeight="1" x14ac:dyDescent="0.25">
      <c r="A94" s="317"/>
      <c r="B94" s="87" t="s">
        <v>21</v>
      </c>
      <c r="C94" s="114"/>
      <c r="D94" s="115"/>
      <c r="E94" s="262"/>
      <c r="F94" s="87" t="s">
        <v>21</v>
      </c>
      <c r="G94" s="263"/>
      <c r="H94" s="263"/>
    </row>
    <row r="95" spans="1:19" ht="22.9" customHeight="1" x14ac:dyDescent="0.25">
      <c r="A95" s="318"/>
      <c r="B95" s="87" t="s">
        <v>22</v>
      </c>
      <c r="C95" s="114"/>
      <c r="D95" s="115"/>
      <c r="E95" s="262"/>
      <c r="F95" s="87" t="s">
        <v>22</v>
      </c>
      <c r="G95" s="263"/>
      <c r="H95" s="263"/>
    </row>
    <row r="100" spans="1:19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:19" ht="22.5" x14ac:dyDescent="0.25">
      <c r="A101" s="103" t="s">
        <v>1</v>
      </c>
      <c r="B101" s="98" t="s">
        <v>39</v>
      </c>
      <c r="C101" s="104" t="s">
        <v>2</v>
      </c>
      <c r="D101" s="101" t="s">
        <v>39</v>
      </c>
      <c r="E101" s="10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x14ac:dyDescent="0.25">
      <c r="A102" s="103" t="s">
        <v>28</v>
      </c>
      <c r="B102" s="98" t="s">
        <v>98</v>
      </c>
      <c r="C102" s="104" t="s">
        <v>69</v>
      </c>
      <c r="D102" s="99">
        <v>4260</v>
      </c>
      <c r="E102" s="10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ht="15" customHeight="1" thickBot="1" x14ac:dyDescent="0.3">
      <c r="A103" s="33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15" customHeight="1" thickBot="1" x14ac:dyDescent="0.3">
      <c r="A104" s="90"/>
      <c r="B104" s="91" t="s">
        <v>126</v>
      </c>
      <c r="C104" s="91"/>
      <c r="D104" s="91"/>
      <c r="E104" s="91"/>
      <c r="F104" s="91" t="s">
        <v>40</v>
      </c>
      <c r="G104" s="91"/>
      <c r="H104" s="91"/>
      <c r="I104" s="91" t="s">
        <v>41</v>
      </c>
      <c r="J104" s="91"/>
      <c r="K104" s="91"/>
      <c r="L104" s="91" t="s">
        <v>42</v>
      </c>
      <c r="M104" s="91"/>
      <c r="N104" s="91"/>
      <c r="O104" s="91" t="s">
        <v>43</v>
      </c>
      <c r="P104" s="270" t="s">
        <v>44</v>
      </c>
      <c r="Q104" s="271"/>
      <c r="R104" s="272"/>
      <c r="S104" s="273" t="s">
        <v>45</v>
      </c>
    </row>
    <row r="105" spans="1:19" ht="20.100000000000001" customHeight="1" x14ac:dyDescent="0.25">
      <c r="A105" s="322" t="s">
        <v>46</v>
      </c>
      <c r="B105" s="277" t="s">
        <v>47</v>
      </c>
      <c r="C105" s="279" t="s">
        <v>127</v>
      </c>
      <c r="D105" s="281" t="s">
        <v>128</v>
      </c>
      <c r="E105" s="283" t="s">
        <v>129</v>
      </c>
      <c r="F105" s="285" t="s">
        <v>130</v>
      </c>
      <c r="G105" s="281" t="s">
        <v>131</v>
      </c>
      <c r="H105" s="283" t="s">
        <v>132</v>
      </c>
      <c r="I105" s="285" t="s">
        <v>133</v>
      </c>
      <c r="J105" s="281" t="s">
        <v>134</v>
      </c>
      <c r="K105" s="283" t="s">
        <v>135</v>
      </c>
      <c r="L105" s="285" t="s">
        <v>136</v>
      </c>
      <c r="M105" s="281" t="s">
        <v>137</v>
      </c>
      <c r="N105" s="283" t="s">
        <v>138</v>
      </c>
      <c r="O105" s="285" t="s">
        <v>139</v>
      </c>
      <c r="P105" s="287" t="s">
        <v>140</v>
      </c>
      <c r="Q105" s="264" t="s">
        <v>141</v>
      </c>
      <c r="R105" s="267" t="s">
        <v>142</v>
      </c>
      <c r="S105" s="274"/>
    </row>
    <row r="106" spans="1:19" x14ac:dyDescent="0.25">
      <c r="A106" s="323"/>
      <c r="B106" s="278"/>
      <c r="C106" s="280"/>
      <c r="D106" s="282"/>
      <c r="E106" s="284"/>
      <c r="F106" s="286"/>
      <c r="G106" s="282"/>
      <c r="H106" s="284"/>
      <c r="I106" s="286"/>
      <c r="J106" s="282"/>
      <c r="K106" s="284"/>
      <c r="L106" s="286"/>
      <c r="M106" s="282"/>
      <c r="N106" s="284"/>
      <c r="O106" s="286"/>
      <c r="P106" s="288"/>
      <c r="Q106" s="265"/>
      <c r="R106" s="268"/>
      <c r="S106" s="275"/>
    </row>
    <row r="107" spans="1:19" x14ac:dyDescent="0.25">
      <c r="A107" s="324">
        <v>102</v>
      </c>
      <c r="B107" s="289" t="s">
        <v>165</v>
      </c>
      <c r="C107" s="290" t="s">
        <v>166</v>
      </c>
      <c r="D107" s="291">
        <v>1</v>
      </c>
      <c r="E107" s="292"/>
      <c r="F107" s="269"/>
      <c r="G107" s="291"/>
      <c r="H107" s="292"/>
      <c r="I107" s="269"/>
      <c r="J107" s="291">
        <v>0.67</v>
      </c>
      <c r="K107" s="292"/>
      <c r="L107" s="269"/>
      <c r="M107" s="291"/>
      <c r="N107" s="292"/>
      <c r="O107" s="269"/>
      <c r="P107" s="293"/>
      <c r="Q107" s="266"/>
      <c r="R107" s="269"/>
      <c r="S107" s="97"/>
    </row>
    <row r="108" spans="1:19" x14ac:dyDescent="0.25">
      <c r="A108" s="202" t="s">
        <v>381</v>
      </c>
      <c r="B108" s="203" t="s">
        <v>382</v>
      </c>
      <c r="C108" s="204" t="s">
        <v>338</v>
      </c>
      <c r="D108" s="205">
        <v>47</v>
      </c>
      <c r="E108" s="96"/>
      <c r="F108" s="308">
        <f t="shared" ref="F108:F111" si="38">E108/D108</f>
        <v>0</v>
      </c>
      <c r="G108" s="205">
        <v>40</v>
      </c>
      <c r="H108" s="96"/>
      <c r="I108" s="308">
        <f t="shared" ref="I108:I111" si="39">H108/G108</f>
        <v>0</v>
      </c>
      <c r="J108" s="205">
        <v>40</v>
      </c>
      <c r="K108" s="96"/>
      <c r="L108" s="308">
        <f t="shared" ref="L108:L111" si="40">K108/J108</f>
        <v>0</v>
      </c>
      <c r="M108" s="205">
        <v>55</v>
      </c>
      <c r="N108" s="96"/>
      <c r="O108" s="308">
        <f t="shared" ref="O108:O111" si="41">N108/M108</f>
        <v>0</v>
      </c>
      <c r="P108" s="309">
        <f t="shared" ref="P108:P111" si="42">O108-F108</f>
        <v>0</v>
      </c>
      <c r="Q108" s="310">
        <f t="shared" ref="Q108:Q111" si="43">O108-I108</f>
        <v>0</v>
      </c>
      <c r="R108" s="311">
        <f t="shared" ref="R108:R111" si="44">O108-L108</f>
        <v>0</v>
      </c>
      <c r="S108" s="97"/>
    </row>
    <row r="109" spans="1:19" x14ac:dyDescent="0.25">
      <c r="A109" s="202" t="s">
        <v>383</v>
      </c>
      <c r="B109" s="203" t="s">
        <v>384</v>
      </c>
      <c r="C109" s="204" t="s">
        <v>338</v>
      </c>
      <c r="D109" s="205">
        <v>18300</v>
      </c>
      <c r="E109" s="96"/>
      <c r="F109" s="308">
        <f t="shared" si="38"/>
        <v>0</v>
      </c>
      <c r="G109" s="205">
        <v>4000</v>
      </c>
      <c r="H109" s="96"/>
      <c r="I109" s="308">
        <f t="shared" si="39"/>
        <v>0</v>
      </c>
      <c r="J109" s="205">
        <v>4000</v>
      </c>
      <c r="K109" s="96"/>
      <c r="L109" s="308">
        <f t="shared" si="40"/>
        <v>0</v>
      </c>
      <c r="M109" s="205">
        <v>6000</v>
      </c>
      <c r="N109" s="96"/>
      <c r="O109" s="308">
        <f t="shared" si="41"/>
        <v>0</v>
      </c>
      <c r="P109" s="309">
        <f t="shared" si="42"/>
        <v>0</v>
      </c>
      <c r="Q109" s="310">
        <f t="shared" si="43"/>
        <v>0</v>
      </c>
      <c r="R109" s="311">
        <f t="shared" si="44"/>
        <v>0</v>
      </c>
      <c r="S109" s="97"/>
    </row>
    <row r="110" spans="1:19" x14ac:dyDescent="0.25">
      <c r="A110" s="202" t="s">
        <v>385</v>
      </c>
      <c r="B110" s="203" t="s">
        <v>386</v>
      </c>
      <c r="C110" s="204" t="s">
        <v>338</v>
      </c>
      <c r="D110" s="205">
        <v>10</v>
      </c>
      <c r="E110" s="96"/>
      <c r="F110" s="308">
        <f t="shared" si="38"/>
        <v>0</v>
      </c>
      <c r="G110" s="205">
        <v>10</v>
      </c>
      <c r="H110" s="96"/>
      <c r="I110" s="308">
        <f t="shared" si="39"/>
        <v>0</v>
      </c>
      <c r="J110" s="205">
        <v>10</v>
      </c>
      <c r="K110" s="96"/>
      <c r="L110" s="308">
        <f t="shared" si="40"/>
        <v>0</v>
      </c>
      <c r="M110" s="205">
        <v>50</v>
      </c>
      <c r="N110" s="96"/>
      <c r="O110" s="308">
        <f t="shared" si="41"/>
        <v>0</v>
      </c>
      <c r="P110" s="309">
        <f t="shared" si="42"/>
        <v>0</v>
      </c>
      <c r="Q110" s="310">
        <f t="shared" si="43"/>
        <v>0</v>
      </c>
      <c r="R110" s="311">
        <f t="shared" si="44"/>
        <v>0</v>
      </c>
      <c r="S110" s="97"/>
    </row>
    <row r="111" spans="1:19" x14ac:dyDescent="0.25">
      <c r="A111" s="202" t="s">
        <v>387</v>
      </c>
      <c r="B111" s="203" t="s">
        <v>388</v>
      </c>
      <c r="C111" s="204" t="s">
        <v>343</v>
      </c>
      <c r="D111" s="205">
        <v>16.5</v>
      </c>
      <c r="E111" s="96"/>
      <c r="F111" s="308">
        <f t="shared" si="38"/>
        <v>0</v>
      </c>
      <c r="G111" s="205">
        <v>5</v>
      </c>
      <c r="H111" s="96"/>
      <c r="I111" s="308">
        <f t="shared" si="39"/>
        <v>0</v>
      </c>
      <c r="J111" s="205">
        <v>5</v>
      </c>
      <c r="K111" s="96"/>
      <c r="L111" s="308">
        <f t="shared" si="40"/>
        <v>0</v>
      </c>
      <c r="M111" s="205">
        <v>5</v>
      </c>
      <c r="N111" s="96"/>
      <c r="O111" s="308">
        <f t="shared" si="41"/>
        <v>0</v>
      </c>
      <c r="P111" s="309">
        <f t="shared" si="42"/>
        <v>0</v>
      </c>
      <c r="Q111" s="310">
        <f t="shared" si="43"/>
        <v>0</v>
      </c>
      <c r="R111" s="311">
        <f t="shared" si="44"/>
        <v>0</v>
      </c>
      <c r="S111" s="97"/>
    </row>
    <row r="113" spans="1:19" ht="19.149999999999999" customHeight="1" x14ac:dyDescent="0.25">
      <c r="A113" s="316" t="s">
        <v>66</v>
      </c>
      <c r="B113" s="87" t="s">
        <v>20</v>
      </c>
      <c r="C113" s="114"/>
      <c r="D113" s="115"/>
      <c r="E113" s="262" t="s">
        <v>19</v>
      </c>
      <c r="F113" s="87" t="s">
        <v>20</v>
      </c>
      <c r="G113" s="263"/>
      <c r="H113" s="263"/>
    </row>
    <row r="114" spans="1:19" ht="21" customHeight="1" x14ac:dyDescent="0.25">
      <c r="A114" s="317"/>
      <c r="B114" s="87" t="s">
        <v>21</v>
      </c>
      <c r="C114" s="114"/>
      <c r="D114" s="115"/>
      <c r="E114" s="262"/>
      <c r="F114" s="87" t="s">
        <v>21</v>
      </c>
      <c r="G114" s="263"/>
      <c r="H114" s="263"/>
    </row>
    <row r="115" spans="1:19" ht="22.9" customHeight="1" x14ac:dyDescent="0.25">
      <c r="A115" s="318"/>
      <c r="B115" s="87" t="s">
        <v>22</v>
      </c>
      <c r="C115" s="114"/>
      <c r="D115" s="115"/>
      <c r="E115" s="262"/>
      <c r="F115" s="87" t="s">
        <v>22</v>
      </c>
      <c r="G115" s="263"/>
      <c r="H115" s="263"/>
    </row>
    <row r="120" spans="1:19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1:19" ht="22.5" x14ac:dyDescent="0.25">
      <c r="A121" s="103" t="s">
        <v>1</v>
      </c>
      <c r="B121" s="98" t="s">
        <v>39</v>
      </c>
      <c r="C121" s="104" t="s">
        <v>2</v>
      </c>
      <c r="D121" s="101" t="s">
        <v>39</v>
      </c>
      <c r="E121" s="10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x14ac:dyDescent="0.25">
      <c r="A122" s="103" t="s">
        <v>28</v>
      </c>
      <c r="B122" s="98" t="s">
        <v>99</v>
      </c>
      <c r="C122" s="104" t="s">
        <v>69</v>
      </c>
      <c r="D122" s="99">
        <v>4240</v>
      </c>
      <c r="E122" s="10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ht="15" customHeight="1" thickBot="1" x14ac:dyDescent="0.3">
      <c r="A123" s="33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ht="15" customHeight="1" thickBot="1" x14ac:dyDescent="0.3">
      <c r="A124" s="90"/>
      <c r="B124" s="91" t="s">
        <v>126</v>
      </c>
      <c r="C124" s="91"/>
      <c r="D124" s="91"/>
      <c r="E124" s="91"/>
      <c r="F124" s="91" t="s">
        <v>40</v>
      </c>
      <c r="G124" s="91"/>
      <c r="H124" s="91"/>
      <c r="I124" s="91" t="s">
        <v>41</v>
      </c>
      <c r="J124" s="91"/>
      <c r="K124" s="91"/>
      <c r="L124" s="91" t="s">
        <v>42</v>
      </c>
      <c r="M124" s="91"/>
      <c r="N124" s="91"/>
      <c r="O124" s="91" t="s">
        <v>43</v>
      </c>
      <c r="P124" s="270" t="s">
        <v>44</v>
      </c>
      <c r="Q124" s="271"/>
      <c r="R124" s="272"/>
      <c r="S124" s="273" t="s">
        <v>45</v>
      </c>
    </row>
    <row r="125" spans="1:19" ht="20.100000000000001" customHeight="1" x14ac:dyDescent="0.25">
      <c r="A125" s="322" t="s">
        <v>46</v>
      </c>
      <c r="B125" s="277" t="s">
        <v>47</v>
      </c>
      <c r="C125" s="279" t="s">
        <v>127</v>
      </c>
      <c r="D125" s="281" t="s">
        <v>128</v>
      </c>
      <c r="E125" s="283" t="s">
        <v>129</v>
      </c>
      <c r="F125" s="285" t="s">
        <v>130</v>
      </c>
      <c r="G125" s="281" t="s">
        <v>131</v>
      </c>
      <c r="H125" s="283" t="s">
        <v>132</v>
      </c>
      <c r="I125" s="285" t="s">
        <v>133</v>
      </c>
      <c r="J125" s="281" t="s">
        <v>134</v>
      </c>
      <c r="K125" s="283" t="s">
        <v>135</v>
      </c>
      <c r="L125" s="285" t="s">
        <v>136</v>
      </c>
      <c r="M125" s="281" t="s">
        <v>137</v>
      </c>
      <c r="N125" s="283" t="s">
        <v>138</v>
      </c>
      <c r="O125" s="285" t="s">
        <v>139</v>
      </c>
      <c r="P125" s="287" t="s">
        <v>140</v>
      </c>
      <c r="Q125" s="264" t="s">
        <v>141</v>
      </c>
      <c r="R125" s="267" t="s">
        <v>142</v>
      </c>
      <c r="S125" s="274"/>
    </row>
    <row r="126" spans="1:19" x14ac:dyDescent="0.25">
      <c r="A126" s="323"/>
      <c r="B126" s="278"/>
      <c r="C126" s="280"/>
      <c r="D126" s="282"/>
      <c r="E126" s="284"/>
      <c r="F126" s="286"/>
      <c r="G126" s="282"/>
      <c r="H126" s="284"/>
      <c r="I126" s="286"/>
      <c r="J126" s="282"/>
      <c r="K126" s="284"/>
      <c r="L126" s="286"/>
      <c r="M126" s="282"/>
      <c r="N126" s="284"/>
      <c r="O126" s="286"/>
      <c r="P126" s="288"/>
      <c r="Q126" s="265"/>
      <c r="R126" s="268"/>
      <c r="S126" s="275"/>
    </row>
    <row r="127" spans="1:19" x14ac:dyDescent="0.25">
      <c r="A127" s="324">
        <v>108</v>
      </c>
      <c r="B127" s="289" t="s">
        <v>169</v>
      </c>
      <c r="C127" s="290" t="s">
        <v>170</v>
      </c>
      <c r="D127" s="291">
        <v>56.18</v>
      </c>
      <c r="E127" s="292"/>
      <c r="F127" s="269"/>
      <c r="G127" s="291"/>
      <c r="H127" s="292"/>
      <c r="I127" s="269"/>
      <c r="J127" s="291">
        <v>100</v>
      </c>
      <c r="K127" s="292"/>
      <c r="L127" s="269"/>
      <c r="M127" s="291"/>
      <c r="N127" s="292"/>
      <c r="O127" s="269"/>
      <c r="P127" s="293"/>
      <c r="Q127" s="266"/>
      <c r="R127" s="269"/>
      <c r="S127" s="97"/>
    </row>
    <row r="128" spans="1:19" x14ac:dyDescent="0.25">
      <c r="A128" s="202" t="s">
        <v>389</v>
      </c>
      <c r="B128" s="203" t="s">
        <v>390</v>
      </c>
      <c r="C128" s="204" t="s">
        <v>338</v>
      </c>
      <c r="D128" s="205">
        <v>3450</v>
      </c>
      <c r="E128" s="96"/>
      <c r="F128" s="308">
        <f t="shared" ref="F128:F131" si="45">E128/D128</f>
        <v>0</v>
      </c>
      <c r="G128" s="205">
        <v>3450</v>
      </c>
      <c r="H128" s="96"/>
      <c r="I128" s="308">
        <f t="shared" ref="I128:I131" si="46">H128/G128</f>
        <v>0</v>
      </c>
      <c r="J128" s="205">
        <v>3450</v>
      </c>
      <c r="K128" s="96"/>
      <c r="L128" s="308">
        <f t="shared" ref="L128:L131" si="47">K128/J128</f>
        <v>0</v>
      </c>
      <c r="M128" s="205">
        <v>3450</v>
      </c>
      <c r="N128" s="96"/>
      <c r="O128" s="308">
        <f t="shared" ref="O128:O131" si="48">N128/M128</f>
        <v>0</v>
      </c>
      <c r="P128" s="309">
        <f t="shared" ref="P128:P131" si="49">O128-F128</f>
        <v>0</v>
      </c>
      <c r="Q128" s="310">
        <f t="shared" ref="Q128:Q131" si="50">O128-I128</f>
        <v>0</v>
      </c>
      <c r="R128" s="311">
        <f t="shared" ref="R128:R131" si="51">O128-L128</f>
        <v>0</v>
      </c>
      <c r="S128" s="97"/>
    </row>
    <row r="129" spans="1:19" x14ac:dyDescent="0.25">
      <c r="A129" s="202" t="s">
        <v>391</v>
      </c>
      <c r="B129" s="203" t="s">
        <v>392</v>
      </c>
      <c r="C129" s="204" t="s">
        <v>343</v>
      </c>
      <c r="D129" s="205">
        <v>1300</v>
      </c>
      <c r="E129" s="96"/>
      <c r="F129" s="308">
        <f t="shared" si="45"/>
        <v>0</v>
      </c>
      <c r="G129" s="205">
        <v>1387</v>
      </c>
      <c r="H129" s="96"/>
      <c r="I129" s="308">
        <f t="shared" si="46"/>
        <v>0</v>
      </c>
      <c r="J129" s="205">
        <v>1387</v>
      </c>
      <c r="K129" s="96"/>
      <c r="L129" s="308">
        <f t="shared" si="47"/>
        <v>0</v>
      </c>
      <c r="M129" s="205">
        <v>1387</v>
      </c>
      <c r="N129" s="96"/>
      <c r="O129" s="308">
        <f t="shared" si="48"/>
        <v>0</v>
      </c>
      <c r="P129" s="309">
        <f t="shared" si="49"/>
        <v>0</v>
      </c>
      <c r="Q129" s="310">
        <f t="shared" si="50"/>
        <v>0</v>
      </c>
      <c r="R129" s="311">
        <f t="shared" si="51"/>
        <v>0</v>
      </c>
      <c r="S129" s="97"/>
    </row>
    <row r="130" spans="1:19" x14ac:dyDescent="0.25">
      <c r="A130" s="202" t="s">
        <v>393</v>
      </c>
      <c r="B130" s="203" t="s">
        <v>394</v>
      </c>
      <c r="C130" s="204" t="s">
        <v>342</v>
      </c>
      <c r="D130" s="205">
        <v>60</v>
      </c>
      <c r="E130" s="96"/>
      <c r="F130" s="308">
        <f t="shared" si="45"/>
        <v>0</v>
      </c>
      <c r="G130" s="205">
        <v>70</v>
      </c>
      <c r="H130" s="96"/>
      <c r="I130" s="308">
        <f t="shared" si="46"/>
        <v>0</v>
      </c>
      <c r="J130" s="205">
        <v>70</v>
      </c>
      <c r="K130" s="96"/>
      <c r="L130" s="308">
        <f t="shared" si="47"/>
        <v>0</v>
      </c>
      <c r="M130" s="205">
        <v>60</v>
      </c>
      <c r="N130" s="96"/>
      <c r="O130" s="308">
        <f t="shared" si="48"/>
        <v>0</v>
      </c>
      <c r="P130" s="309">
        <f t="shared" si="49"/>
        <v>0</v>
      </c>
      <c r="Q130" s="310">
        <f t="shared" si="50"/>
        <v>0</v>
      </c>
      <c r="R130" s="311">
        <f t="shared" si="51"/>
        <v>0</v>
      </c>
      <c r="S130" s="97"/>
    </row>
    <row r="131" spans="1:19" x14ac:dyDescent="0.25">
      <c r="A131" s="202" t="s">
        <v>395</v>
      </c>
      <c r="B131" s="203" t="s">
        <v>396</v>
      </c>
      <c r="C131" s="204" t="s">
        <v>343</v>
      </c>
      <c r="D131" s="205">
        <v>1350</v>
      </c>
      <c r="E131" s="96"/>
      <c r="F131" s="308">
        <f t="shared" si="45"/>
        <v>0</v>
      </c>
      <c r="G131" s="205">
        <v>1400</v>
      </c>
      <c r="H131" s="96"/>
      <c r="I131" s="308">
        <f t="shared" si="46"/>
        <v>0</v>
      </c>
      <c r="J131" s="205">
        <v>1400</v>
      </c>
      <c r="K131" s="96"/>
      <c r="L131" s="308">
        <f t="shared" si="47"/>
        <v>0</v>
      </c>
      <c r="M131" s="205">
        <v>1350</v>
      </c>
      <c r="N131" s="96"/>
      <c r="O131" s="308">
        <f t="shared" si="48"/>
        <v>0</v>
      </c>
      <c r="P131" s="309">
        <f t="shared" si="49"/>
        <v>0</v>
      </c>
      <c r="Q131" s="310">
        <f t="shared" si="50"/>
        <v>0</v>
      </c>
      <c r="R131" s="311">
        <f t="shared" si="51"/>
        <v>0</v>
      </c>
      <c r="S131" s="97"/>
    </row>
    <row r="133" spans="1:19" ht="19.149999999999999" customHeight="1" x14ac:dyDescent="0.25">
      <c r="A133" s="316" t="s">
        <v>66</v>
      </c>
      <c r="B133" s="87" t="s">
        <v>20</v>
      </c>
      <c r="C133" s="114"/>
      <c r="D133" s="115"/>
      <c r="E133" s="262" t="s">
        <v>19</v>
      </c>
      <c r="F133" s="87" t="s">
        <v>20</v>
      </c>
      <c r="G133" s="263"/>
      <c r="H133" s="263"/>
    </row>
    <row r="134" spans="1:19" ht="21" customHeight="1" x14ac:dyDescent="0.25">
      <c r="A134" s="317"/>
      <c r="B134" s="87" t="s">
        <v>21</v>
      </c>
      <c r="C134" s="114"/>
      <c r="D134" s="115"/>
      <c r="E134" s="262"/>
      <c r="F134" s="87" t="s">
        <v>21</v>
      </c>
      <c r="G134" s="263"/>
      <c r="H134" s="263"/>
    </row>
    <row r="135" spans="1:19" ht="22.9" customHeight="1" x14ac:dyDescent="0.25">
      <c r="A135" s="318"/>
      <c r="B135" s="87" t="s">
        <v>22</v>
      </c>
      <c r="C135" s="114"/>
      <c r="D135" s="115"/>
      <c r="E135" s="262"/>
      <c r="F135" s="87" t="s">
        <v>22</v>
      </c>
      <c r="G135" s="263"/>
      <c r="H135" s="263"/>
    </row>
    <row r="140" spans="1:19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1:19" ht="22.5" x14ac:dyDescent="0.25">
      <c r="A141" s="103" t="s">
        <v>1</v>
      </c>
      <c r="B141" s="98" t="s">
        <v>39</v>
      </c>
      <c r="C141" s="104" t="s">
        <v>2</v>
      </c>
      <c r="D141" s="101" t="s">
        <v>39</v>
      </c>
      <c r="E141" s="10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x14ac:dyDescent="0.25">
      <c r="A142" s="103" t="s">
        <v>28</v>
      </c>
      <c r="B142" s="98" t="s">
        <v>100</v>
      </c>
      <c r="C142" s="104" t="s">
        <v>69</v>
      </c>
      <c r="D142" s="99">
        <v>4520</v>
      </c>
      <c r="E142" s="102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ht="15" customHeight="1" thickBot="1" x14ac:dyDescent="0.3">
      <c r="A143" s="33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15" customHeight="1" thickBot="1" x14ac:dyDescent="0.3">
      <c r="A144" s="90"/>
      <c r="B144" s="91" t="s">
        <v>126</v>
      </c>
      <c r="C144" s="91"/>
      <c r="D144" s="91"/>
      <c r="E144" s="91"/>
      <c r="F144" s="91" t="s">
        <v>40</v>
      </c>
      <c r="G144" s="91"/>
      <c r="H144" s="91"/>
      <c r="I144" s="91" t="s">
        <v>41</v>
      </c>
      <c r="J144" s="91"/>
      <c r="K144" s="91"/>
      <c r="L144" s="91" t="s">
        <v>42</v>
      </c>
      <c r="M144" s="91"/>
      <c r="N144" s="91"/>
      <c r="O144" s="91" t="s">
        <v>43</v>
      </c>
      <c r="P144" s="270" t="s">
        <v>44</v>
      </c>
      <c r="Q144" s="271"/>
      <c r="R144" s="272"/>
      <c r="S144" s="273" t="s">
        <v>45</v>
      </c>
    </row>
    <row r="145" spans="1:19" ht="20.100000000000001" customHeight="1" x14ac:dyDescent="0.25">
      <c r="A145" s="322" t="s">
        <v>46</v>
      </c>
      <c r="B145" s="277" t="s">
        <v>47</v>
      </c>
      <c r="C145" s="279" t="s">
        <v>127</v>
      </c>
      <c r="D145" s="281" t="s">
        <v>128</v>
      </c>
      <c r="E145" s="283" t="s">
        <v>129</v>
      </c>
      <c r="F145" s="285" t="s">
        <v>130</v>
      </c>
      <c r="G145" s="281" t="s">
        <v>131</v>
      </c>
      <c r="H145" s="283" t="s">
        <v>132</v>
      </c>
      <c r="I145" s="285" t="s">
        <v>133</v>
      </c>
      <c r="J145" s="281" t="s">
        <v>134</v>
      </c>
      <c r="K145" s="283" t="s">
        <v>135</v>
      </c>
      <c r="L145" s="285" t="s">
        <v>136</v>
      </c>
      <c r="M145" s="281" t="s">
        <v>137</v>
      </c>
      <c r="N145" s="283" t="s">
        <v>138</v>
      </c>
      <c r="O145" s="285" t="s">
        <v>139</v>
      </c>
      <c r="P145" s="287" t="s">
        <v>140</v>
      </c>
      <c r="Q145" s="264" t="s">
        <v>141</v>
      </c>
      <c r="R145" s="267" t="s">
        <v>142</v>
      </c>
      <c r="S145" s="274"/>
    </row>
    <row r="146" spans="1:19" x14ac:dyDescent="0.25">
      <c r="A146" s="323"/>
      <c r="B146" s="278"/>
      <c r="C146" s="280"/>
      <c r="D146" s="282"/>
      <c r="E146" s="284"/>
      <c r="F146" s="286"/>
      <c r="G146" s="282"/>
      <c r="H146" s="284"/>
      <c r="I146" s="286"/>
      <c r="J146" s="282"/>
      <c r="K146" s="284"/>
      <c r="L146" s="286"/>
      <c r="M146" s="282"/>
      <c r="N146" s="284"/>
      <c r="O146" s="286"/>
      <c r="P146" s="288"/>
      <c r="Q146" s="265"/>
      <c r="R146" s="268"/>
      <c r="S146" s="275"/>
    </row>
    <row r="147" spans="1:19" x14ac:dyDescent="0.25">
      <c r="A147" s="324">
        <v>158</v>
      </c>
      <c r="B147" s="289" t="s">
        <v>173</v>
      </c>
      <c r="C147" s="290" t="s">
        <v>174</v>
      </c>
      <c r="D147" s="291">
        <v>61.09</v>
      </c>
      <c r="E147" s="292"/>
      <c r="F147" s="269"/>
      <c r="G147" s="291"/>
      <c r="H147" s="292"/>
      <c r="I147" s="269"/>
      <c r="J147" s="291">
        <v>57.88</v>
      </c>
      <c r="K147" s="292"/>
      <c r="L147" s="269"/>
      <c r="M147" s="291"/>
      <c r="N147" s="292"/>
      <c r="O147" s="269"/>
      <c r="P147" s="293"/>
      <c r="Q147" s="266"/>
      <c r="R147" s="269"/>
      <c r="S147" s="97"/>
    </row>
    <row r="148" spans="1:19" x14ac:dyDescent="0.25">
      <c r="A148" s="202" t="s">
        <v>397</v>
      </c>
      <c r="B148" s="203" t="s">
        <v>398</v>
      </c>
      <c r="C148" s="204" t="s">
        <v>342</v>
      </c>
      <c r="D148" s="205">
        <v>180</v>
      </c>
      <c r="E148" s="96"/>
      <c r="F148" s="308">
        <f t="shared" ref="F148:F149" si="52">E148/D148</f>
        <v>0</v>
      </c>
      <c r="G148" s="205">
        <v>180</v>
      </c>
      <c r="H148" s="96"/>
      <c r="I148" s="308">
        <f t="shared" ref="I148:I149" si="53">H148/G148</f>
        <v>0</v>
      </c>
      <c r="J148" s="205">
        <v>180</v>
      </c>
      <c r="K148" s="96"/>
      <c r="L148" s="308">
        <f t="shared" ref="L148:L149" si="54">K148/J148</f>
        <v>0</v>
      </c>
      <c r="M148" s="205">
        <v>190</v>
      </c>
      <c r="N148" s="96"/>
      <c r="O148" s="308">
        <f t="shared" ref="O148:O149" si="55">N148/M148</f>
        <v>0</v>
      </c>
      <c r="P148" s="309">
        <f t="shared" ref="P148:P149" si="56">O148-F148</f>
        <v>0</v>
      </c>
      <c r="Q148" s="310">
        <f t="shared" ref="Q148:Q149" si="57">O148-I148</f>
        <v>0</v>
      </c>
      <c r="R148" s="311">
        <f t="shared" ref="R148:R149" si="58">O148-L148</f>
        <v>0</v>
      </c>
      <c r="S148" s="97"/>
    </row>
    <row r="149" spans="1:19" x14ac:dyDescent="0.25">
      <c r="A149" s="202" t="s">
        <v>399</v>
      </c>
      <c r="B149" s="203" t="s">
        <v>400</v>
      </c>
      <c r="C149" s="204" t="s">
        <v>338</v>
      </c>
      <c r="D149" s="205">
        <v>5</v>
      </c>
      <c r="E149" s="96"/>
      <c r="F149" s="308">
        <f t="shared" si="52"/>
        <v>0</v>
      </c>
      <c r="G149" s="205">
        <v>10</v>
      </c>
      <c r="H149" s="96"/>
      <c r="I149" s="308">
        <f t="shared" si="53"/>
        <v>0</v>
      </c>
      <c r="J149" s="205">
        <v>10</v>
      </c>
      <c r="K149" s="96"/>
      <c r="L149" s="308">
        <f t="shared" si="54"/>
        <v>0</v>
      </c>
      <c r="M149" s="205">
        <v>0</v>
      </c>
      <c r="N149" s="96"/>
      <c r="O149" s="308" t="e">
        <f t="shared" si="55"/>
        <v>#DIV/0!</v>
      </c>
      <c r="P149" s="309" t="e">
        <f t="shared" si="56"/>
        <v>#DIV/0!</v>
      </c>
      <c r="Q149" s="310" t="e">
        <f t="shared" si="57"/>
        <v>#DIV/0!</v>
      </c>
      <c r="R149" s="311" t="e">
        <f t="shared" si="58"/>
        <v>#DIV/0!</v>
      </c>
      <c r="S149" s="97"/>
    </row>
    <row r="151" spans="1:19" ht="19.149999999999999" customHeight="1" x14ac:dyDescent="0.25">
      <c r="A151" s="316" t="s">
        <v>66</v>
      </c>
      <c r="B151" s="87" t="s">
        <v>20</v>
      </c>
      <c r="C151" s="114"/>
      <c r="D151" s="115"/>
      <c r="E151" s="262" t="s">
        <v>19</v>
      </c>
      <c r="F151" s="87" t="s">
        <v>20</v>
      </c>
      <c r="G151" s="263"/>
      <c r="H151" s="263"/>
    </row>
    <row r="152" spans="1:19" ht="21" customHeight="1" x14ac:dyDescent="0.25">
      <c r="A152" s="317"/>
      <c r="B152" s="87" t="s">
        <v>21</v>
      </c>
      <c r="C152" s="114"/>
      <c r="D152" s="115"/>
      <c r="E152" s="262"/>
      <c r="F152" s="87" t="s">
        <v>21</v>
      </c>
      <c r="G152" s="263"/>
      <c r="H152" s="263"/>
    </row>
    <row r="153" spans="1:19" ht="22.9" customHeight="1" x14ac:dyDescent="0.25">
      <c r="A153" s="318"/>
      <c r="B153" s="87" t="s">
        <v>22</v>
      </c>
      <c r="C153" s="114"/>
      <c r="D153" s="115"/>
      <c r="E153" s="262"/>
      <c r="F153" s="87" t="s">
        <v>22</v>
      </c>
      <c r="G153" s="263"/>
      <c r="H153" s="263"/>
    </row>
    <row r="158" spans="1:19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1:19" ht="22.5" x14ac:dyDescent="0.25">
      <c r="A159" s="103" t="s">
        <v>1</v>
      </c>
      <c r="B159" s="98" t="s">
        <v>39</v>
      </c>
      <c r="C159" s="104" t="s">
        <v>2</v>
      </c>
      <c r="D159" s="101" t="s">
        <v>39</v>
      </c>
      <c r="E159" s="100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x14ac:dyDescent="0.25">
      <c r="A160" s="103" t="s">
        <v>28</v>
      </c>
      <c r="B160" s="98" t="s">
        <v>101</v>
      </c>
      <c r="C160" s="104" t="s">
        <v>69</v>
      </c>
      <c r="D160" s="99">
        <v>5100</v>
      </c>
      <c r="E160" s="102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ht="15" customHeight="1" thickBot="1" x14ac:dyDescent="0.3">
      <c r="A161" s="33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ht="15" customHeight="1" thickBot="1" x14ac:dyDescent="0.3">
      <c r="A162" s="90"/>
      <c r="B162" s="91" t="s">
        <v>126</v>
      </c>
      <c r="C162" s="91"/>
      <c r="D162" s="91"/>
      <c r="E162" s="91"/>
      <c r="F162" s="91" t="s">
        <v>40</v>
      </c>
      <c r="G162" s="91"/>
      <c r="H162" s="91"/>
      <c r="I162" s="91" t="s">
        <v>41</v>
      </c>
      <c r="J162" s="91"/>
      <c r="K162" s="91"/>
      <c r="L162" s="91" t="s">
        <v>42</v>
      </c>
      <c r="M162" s="91"/>
      <c r="N162" s="91"/>
      <c r="O162" s="91" t="s">
        <v>43</v>
      </c>
      <c r="P162" s="270" t="s">
        <v>44</v>
      </c>
      <c r="Q162" s="271"/>
      <c r="R162" s="272"/>
      <c r="S162" s="273" t="s">
        <v>45</v>
      </c>
    </row>
    <row r="163" spans="1:19" ht="20.100000000000001" customHeight="1" x14ac:dyDescent="0.25">
      <c r="A163" s="322" t="s">
        <v>46</v>
      </c>
      <c r="B163" s="277" t="s">
        <v>47</v>
      </c>
      <c r="C163" s="279" t="s">
        <v>127</v>
      </c>
      <c r="D163" s="281" t="s">
        <v>128</v>
      </c>
      <c r="E163" s="283" t="s">
        <v>129</v>
      </c>
      <c r="F163" s="285" t="s">
        <v>130</v>
      </c>
      <c r="G163" s="281" t="s">
        <v>131</v>
      </c>
      <c r="H163" s="283" t="s">
        <v>132</v>
      </c>
      <c r="I163" s="285" t="s">
        <v>133</v>
      </c>
      <c r="J163" s="281" t="s">
        <v>134</v>
      </c>
      <c r="K163" s="283" t="s">
        <v>135</v>
      </c>
      <c r="L163" s="285" t="s">
        <v>136</v>
      </c>
      <c r="M163" s="281" t="s">
        <v>137</v>
      </c>
      <c r="N163" s="283" t="s">
        <v>138</v>
      </c>
      <c r="O163" s="285" t="s">
        <v>139</v>
      </c>
      <c r="P163" s="287" t="s">
        <v>140</v>
      </c>
      <c r="Q163" s="264" t="s">
        <v>141</v>
      </c>
      <c r="R163" s="267" t="s">
        <v>142</v>
      </c>
      <c r="S163" s="274"/>
    </row>
    <row r="164" spans="1:19" x14ac:dyDescent="0.25">
      <c r="A164" s="323"/>
      <c r="B164" s="278"/>
      <c r="C164" s="280"/>
      <c r="D164" s="282"/>
      <c r="E164" s="284"/>
      <c r="F164" s="286"/>
      <c r="G164" s="282"/>
      <c r="H164" s="284"/>
      <c r="I164" s="286"/>
      <c r="J164" s="282"/>
      <c r="K164" s="284"/>
      <c r="L164" s="286"/>
      <c r="M164" s="282"/>
      <c r="N164" s="284"/>
      <c r="O164" s="286"/>
      <c r="P164" s="288"/>
      <c r="Q164" s="265"/>
      <c r="R164" s="268"/>
      <c r="S164" s="275"/>
    </row>
    <row r="165" spans="1:19" x14ac:dyDescent="0.25">
      <c r="A165" s="324">
        <v>203</v>
      </c>
      <c r="B165" s="289" t="s">
        <v>177</v>
      </c>
      <c r="C165" s="290" t="s">
        <v>178</v>
      </c>
      <c r="D165" s="291">
        <v>-92.19</v>
      </c>
      <c r="E165" s="292"/>
      <c r="F165" s="269"/>
      <c r="G165" s="291"/>
      <c r="H165" s="292"/>
      <c r="I165" s="269"/>
      <c r="J165" s="291">
        <v>400</v>
      </c>
      <c r="K165" s="292"/>
      <c r="L165" s="269"/>
      <c r="M165" s="291"/>
      <c r="N165" s="292"/>
      <c r="O165" s="269"/>
      <c r="P165" s="293"/>
      <c r="Q165" s="266"/>
      <c r="R165" s="269"/>
      <c r="S165" s="97"/>
    </row>
    <row r="166" spans="1:19" ht="22.5" x14ac:dyDescent="0.25">
      <c r="A166" s="202" t="s">
        <v>404</v>
      </c>
      <c r="B166" s="203" t="s">
        <v>401</v>
      </c>
      <c r="C166" s="204" t="s">
        <v>339</v>
      </c>
      <c r="D166" s="205">
        <v>156</v>
      </c>
      <c r="E166" s="96"/>
      <c r="F166" s="308">
        <f t="shared" ref="F166:F168" si="59">E166/D166</f>
        <v>0</v>
      </c>
      <c r="G166" s="205">
        <v>156</v>
      </c>
      <c r="H166" s="96"/>
      <c r="I166" s="308">
        <f t="shared" ref="I166:I168" si="60">H166/G166</f>
        <v>0</v>
      </c>
      <c r="J166" s="205">
        <v>156</v>
      </c>
      <c r="K166" s="96"/>
      <c r="L166" s="308">
        <f t="shared" ref="L166:L168" si="61">K166/J166</f>
        <v>0</v>
      </c>
      <c r="M166" s="205">
        <v>156</v>
      </c>
      <c r="N166" s="96"/>
      <c r="O166" s="308">
        <f t="shared" ref="O166:O168" si="62">N166/M166</f>
        <v>0</v>
      </c>
      <c r="P166" s="309">
        <f t="shared" ref="P166:P168" si="63">O166-F166</f>
        <v>0</v>
      </c>
      <c r="Q166" s="310">
        <f t="shared" ref="Q166:Q168" si="64">O166-I166</f>
        <v>0</v>
      </c>
      <c r="R166" s="311">
        <f t="shared" ref="R166:R168" si="65">O166-L166</f>
        <v>0</v>
      </c>
      <c r="S166" s="97"/>
    </row>
    <row r="167" spans="1:19" x14ac:dyDescent="0.25">
      <c r="A167" s="202" t="s">
        <v>405</v>
      </c>
      <c r="B167" s="203" t="s">
        <v>402</v>
      </c>
      <c r="C167" s="204" t="s">
        <v>338</v>
      </c>
      <c r="D167" s="205">
        <v>9000</v>
      </c>
      <c r="E167" s="96"/>
      <c r="F167" s="308">
        <f t="shared" si="59"/>
        <v>0</v>
      </c>
      <c r="G167" s="205">
        <v>9000</v>
      </c>
      <c r="H167" s="96"/>
      <c r="I167" s="308">
        <f t="shared" si="60"/>
        <v>0</v>
      </c>
      <c r="J167" s="205">
        <v>9000</v>
      </c>
      <c r="K167" s="96"/>
      <c r="L167" s="308">
        <f t="shared" si="61"/>
        <v>0</v>
      </c>
      <c r="M167" s="205">
        <v>9000</v>
      </c>
      <c r="N167" s="96"/>
      <c r="O167" s="308">
        <f t="shared" si="62"/>
        <v>0</v>
      </c>
      <c r="P167" s="309">
        <f t="shared" si="63"/>
        <v>0</v>
      </c>
      <c r="Q167" s="310">
        <f t="shared" si="64"/>
        <v>0</v>
      </c>
      <c r="R167" s="311">
        <f t="shared" si="65"/>
        <v>0</v>
      </c>
      <c r="S167" s="97"/>
    </row>
    <row r="168" spans="1:19" x14ac:dyDescent="0.25">
      <c r="A168" s="202" t="s">
        <v>406</v>
      </c>
      <c r="B168" s="203" t="s">
        <v>403</v>
      </c>
      <c r="C168" s="204" t="s">
        <v>338</v>
      </c>
      <c r="D168" s="205">
        <v>17</v>
      </c>
      <c r="E168" s="96"/>
      <c r="F168" s="308">
        <f t="shared" si="59"/>
        <v>0</v>
      </c>
      <c r="G168" s="205">
        <v>50</v>
      </c>
      <c r="H168" s="96"/>
      <c r="I168" s="308">
        <f t="shared" si="60"/>
        <v>0</v>
      </c>
      <c r="J168" s="205">
        <v>50</v>
      </c>
      <c r="K168" s="96"/>
      <c r="L168" s="308">
        <f t="shared" si="61"/>
        <v>0</v>
      </c>
      <c r="M168" s="205">
        <v>0</v>
      </c>
      <c r="N168" s="96"/>
      <c r="O168" s="308" t="e">
        <f t="shared" si="62"/>
        <v>#DIV/0!</v>
      </c>
      <c r="P168" s="309" t="e">
        <f t="shared" si="63"/>
        <v>#DIV/0!</v>
      </c>
      <c r="Q168" s="310" t="e">
        <f t="shared" si="64"/>
        <v>#DIV/0!</v>
      </c>
      <c r="R168" s="311" t="e">
        <f t="shared" si="65"/>
        <v>#DIV/0!</v>
      </c>
      <c r="S168" s="97"/>
    </row>
    <row r="170" spans="1:19" ht="19.149999999999999" customHeight="1" x14ac:dyDescent="0.25">
      <c r="A170" s="316" t="s">
        <v>66</v>
      </c>
      <c r="B170" s="87" t="s">
        <v>20</v>
      </c>
      <c r="C170" s="114"/>
      <c r="D170" s="115"/>
      <c r="E170" s="262" t="s">
        <v>19</v>
      </c>
      <c r="F170" s="87" t="s">
        <v>20</v>
      </c>
      <c r="G170" s="263"/>
      <c r="H170" s="263"/>
    </row>
    <row r="171" spans="1:19" ht="21" customHeight="1" x14ac:dyDescent="0.25">
      <c r="A171" s="317"/>
      <c r="B171" s="87" t="s">
        <v>21</v>
      </c>
      <c r="C171" s="114"/>
      <c r="D171" s="115"/>
      <c r="E171" s="262"/>
      <c r="F171" s="87" t="s">
        <v>21</v>
      </c>
      <c r="G171" s="263"/>
      <c r="H171" s="263"/>
    </row>
    <row r="172" spans="1:19" ht="22.9" customHeight="1" x14ac:dyDescent="0.25">
      <c r="A172" s="318"/>
      <c r="B172" s="87" t="s">
        <v>22</v>
      </c>
      <c r="C172" s="114"/>
      <c r="D172" s="115"/>
      <c r="E172" s="262"/>
      <c r="F172" s="87" t="s">
        <v>22</v>
      </c>
      <c r="G172" s="263"/>
      <c r="H172" s="263"/>
    </row>
    <row r="177" spans="1:19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</row>
    <row r="178" spans="1:19" ht="22.5" x14ac:dyDescent="0.25">
      <c r="A178" s="103" t="s">
        <v>1</v>
      </c>
      <c r="B178" s="98" t="s">
        <v>39</v>
      </c>
      <c r="C178" s="104" t="s">
        <v>2</v>
      </c>
      <c r="D178" s="101" t="s">
        <v>39</v>
      </c>
      <c r="E178" s="100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 x14ac:dyDescent="0.25">
      <c r="A179" s="103" t="s">
        <v>28</v>
      </c>
      <c r="B179" s="98" t="s">
        <v>102</v>
      </c>
      <c r="C179" s="104" t="s">
        <v>69</v>
      </c>
      <c r="D179" s="99">
        <v>6260</v>
      </c>
      <c r="E179" s="102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 ht="15" customHeight="1" thickBot="1" x14ac:dyDescent="0.3">
      <c r="A180" s="33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 ht="15" customHeight="1" thickBot="1" x14ac:dyDescent="0.3">
      <c r="A181" s="90"/>
      <c r="B181" s="91" t="s">
        <v>126</v>
      </c>
      <c r="C181" s="91"/>
      <c r="D181" s="91"/>
      <c r="E181" s="91"/>
      <c r="F181" s="91" t="s">
        <v>40</v>
      </c>
      <c r="G181" s="91"/>
      <c r="H181" s="91"/>
      <c r="I181" s="91" t="s">
        <v>41</v>
      </c>
      <c r="J181" s="91"/>
      <c r="K181" s="91"/>
      <c r="L181" s="91" t="s">
        <v>42</v>
      </c>
      <c r="M181" s="91"/>
      <c r="N181" s="91"/>
      <c r="O181" s="91" t="s">
        <v>43</v>
      </c>
      <c r="P181" s="270" t="s">
        <v>44</v>
      </c>
      <c r="Q181" s="271"/>
      <c r="R181" s="272"/>
      <c r="S181" s="273" t="s">
        <v>45</v>
      </c>
    </row>
    <row r="182" spans="1:19" ht="20.100000000000001" customHeight="1" x14ac:dyDescent="0.25">
      <c r="A182" s="322" t="s">
        <v>46</v>
      </c>
      <c r="B182" s="277" t="s">
        <v>47</v>
      </c>
      <c r="C182" s="279" t="s">
        <v>127</v>
      </c>
      <c r="D182" s="281" t="s">
        <v>128</v>
      </c>
      <c r="E182" s="283" t="s">
        <v>129</v>
      </c>
      <c r="F182" s="285" t="s">
        <v>130</v>
      </c>
      <c r="G182" s="281" t="s">
        <v>131</v>
      </c>
      <c r="H182" s="283" t="s">
        <v>132</v>
      </c>
      <c r="I182" s="285" t="s">
        <v>133</v>
      </c>
      <c r="J182" s="281" t="s">
        <v>134</v>
      </c>
      <c r="K182" s="283" t="s">
        <v>135</v>
      </c>
      <c r="L182" s="285" t="s">
        <v>136</v>
      </c>
      <c r="M182" s="281" t="s">
        <v>137</v>
      </c>
      <c r="N182" s="283" t="s">
        <v>138</v>
      </c>
      <c r="O182" s="285" t="s">
        <v>139</v>
      </c>
      <c r="P182" s="287" t="s">
        <v>140</v>
      </c>
      <c r="Q182" s="264" t="s">
        <v>141</v>
      </c>
      <c r="R182" s="267" t="s">
        <v>142</v>
      </c>
      <c r="S182" s="274"/>
    </row>
    <row r="183" spans="1:19" x14ac:dyDescent="0.25">
      <c r="A183" s="323"/>
      <c r="B183" s="278"/>
      <c r="C183" s="280"/>
      <c r="D183" s="282"/>
      <c r="E183" s="284"/>
      <c r="F183" s="286"/>
      <c r="G183" s="282"/>
      <c r="H183" s="284"/>
      <c r="I183" s="286"/>
      <c r="J183" s="282"/>
      <c r="K183" s="284"/>
      <c r="L183" s="286"/>
      <c r="M183" s="282"/>
      <c r="N183" s="284"/>
      <c r="O183" s="286"/>
      <c r="P183" s="288"/>
      <c r="Q183" s="265"/>
      <c r="R183" s="268"/>
      <c r="S183" s="275"/>
    </row>
    <row r="184" spans="1:19" x14ac:dyDescent="0.25">
      <c r="A184" s="324"/>
      <c r="B184" s="289" t="s">
        <v>181</v>
      </c>
      <c r="C184" s="290" t="s">
        <v>182</v>
      </c>
      <c r="D184" s="291">
        <v>420.19</v>
      </c>
      <c r="E184" s="292"/>
      <c r="F184" s="269"/>
      <c r="G184" s="291"/>
      <c r="H184" s="292"/>
      <c r="I184" s="269"/>
      <c r="J184" s="291">
        <v>396.24</v>
      </c>
      <c r="K184" s="292"/>
      <c r="L184" s="269"/>
      <c r="M184" s="291"/>
      <c r="N184" s="292"/>
      <c r="O184" s="269"/>
      <c r="P184" s="293"/>
      <c r="Q184" s="266"/>
      <c r="R184" s="269"/>
      <c r="S184" s="97"/>
    </row>
    <row r="185" spans="1:19" ht="22.5" x14ac:dyDescent="0.25">
      <c r="A185" s="202" t="s">
        <v>407</v>
      </c>
      <c r="B185" s="203" t="s">
        <v>408</v>
      </c>
      <c r="C185" s="204" t="s">
        <v>338</v>
      </c>
      <c r="D185" s="205">
        <v>100</v>
      </c>
      <c r="E185" s="96"/>
      <c r="F185" s="308">
        <f t="shared" ref="F185:F189" si="66">E185/D185</f>
        <v>0</v>
      </c>
      <c r="G185" s="205">
        <v>3500</v>
      </c>
      <c r="H185" s="96"/>
      <c r="I185" s="308">
        <f t="shared" ref="I185:I189" si="67">H185/G185</f>
        <v>0</v>
      </c>
      <c r="J185" s="205">
        <v>3500</v>
      </c>
      <c r="K185" s="96"/>
      <c r="L185" s="308">
        <f t="shared" ref="L185:L189" si="68">K185/J185</f>
        <v>0</v>
      </c>
      <c r="M185" s="205">
        <v>3500</v>
      </c>
      <c r="N185" s="96"/>
      <c r="O185" s="308">
        <f t="shared" ref="O185:O189" si="69">N185/M185</f>
        <v>0</v>
      </c>
      <c r="P185" s="309">
        <f t="shared" ref="P185:P189" si="70">O185-F185</f>
        <v>0</v>
      </c>
      <c r="Q185" s="310">
        <f t="shared" ref="Q185:Q189" si="71">O185-I185</f>
        <v>0</v>
      </c>
      <c r="R185" s="311">
        <f t="shared" ref="R185:R189" si="72">O185-L185</f>
        <v>0</v>
      </c>
      <c r="S185" s="97"/>
    </row>
    <row r="186" spans="1:19" x14ac:dyDescent="0.25">
      <c r="A186" s="202" t="s">
        <v>409</v>
      </c>
      <c r="B186" s="203" t="s">
        <v>410</v>
      </c>
      <c r="C186" s="204" t="s">
        <v>341</v>
      </c>
      <c r="D186" s="205">
        <v>2000</v>
      </c>
      <c r="E186" s="96"/>
      <c r="F186" s="308">
        <f t="shared" si="66"/>
        <v>0</v>
      </c>
      <c r="G186" s="205">
        <v>2000</v>
      </c>
      <c r="H186" s="96"/>
      <c r="I186" s="308">
        <f t="shared" si="67"/>
        <v>0</v>
      </c>
      <c r="J186" s="205">
        <v>2000</v>
      </c>
      <c r="K186" s="96"/>
      <c r="L186" s="308">
        <f t="shared" si="68"/>
        <v>0</v>
      </c>
      <c r="M186" s="205">
        <v>2500</v>
      </c>
      <c r="N186" s="96"/>
      <c r="O186" s="308">
        <f t="shared" si="69"/>
        <v>0</v>
      </c>
      <c r="P186" s="309">
        <f t="shared" si="70"/>
        <v>0</v>
      </c>
      <c r="Q186" s="310">
        <f t="shared" si="71"/>
        <v>0</v>
      </c>
      <c r="R186" s="311">
        <f t="shared" si="72"/>
        <v>0</v>
      </c>
      <c r="S186" s="97"/>
    </row>
    <row r="187" spans="1:19" x14ac:dyDescent="0.25">
      <c r="A187" s="202" t="s">
        <v>411</v>
      </c>
      <c r="B187" s="203" t="s">
        <v>412</v>
      </c>
      <c r="C187" s="204" t="s">
        <v>341</v>
      </c>
      <c r="D187" s="205">
        <v>1400</v>
      </c>
      <c r="E187" s="96"/>
      <c r="F187" s="308">
        <f t="shared" si="66"/>
        <v>0</v>
      </c>
      <c r="G187" s="205">
        <v>1390</v>
      </c>
      <c r="H187" s="96"/>
      <c r="I187" s="308">
        <f t="shared" si="67"/>
        <v>0</v>
      </c>
      <c r="J187" s="205">
        <v>1390</v>
      </c>
      <c r="K187" s="96"/>
      <c r="L187" s="308">
        <f t="shared" si="68"/>
        <v>0</v>
      </c>
      <c r="M187" s="205">
        <v>1500</v>
      </c>
      <c r="N187" s="96"/>
      <c r="O187" s="308">
        <f t="shared" si="69"/>
        <v>0</v>
      </c>
      <c r="P187" s="309">
        <f t="shared" si="70"/>
        <v>0</v>
      </c>
      <c r="Q187" s="310">
        <f t="shared" si="71"/>
        <v>0</v>
      </c>
      <c r="R187" s="311">
        <f t="shared" si="72"/>
        <v>0</v>
      </c>
      <c r="S187" s="97"/>
    </row>
    <row r="188" spans="1:19" x14ac:dyDescent="0.25">
      <c r="A188" s="202" t="s">
        <v>413</v>
      </c>
      <c r="B188" s="203" t="s">
        <v>414</v>
      </c>
      <c r="C188" s="204" t="s">
        <v>338</v>
      </c>
      <c r="D188" s="205">
        <v>6</v>
      </c>
      <c r="E188" s="96"/>
      <c r="F188" s="308">
        <f t="shared" si="66"/>
        <v>0</v>
      </c>
      <c r="G188" s="205">
        <v>3</v>
      </c>
      <c r="H188" s="96"/>
      <c r="I188" s="308">
        <f t="shared" si="67"/>
        <v>0</v>
      </c>
      <c r="J188" s="205">
        <v>3</v>
      </c>
      <c r="K188" s="96"/>
      <c r="L188" s="308">
        <f t="shared" si="68"/>
        <v>0</v>
      </c>
      <c r="M188" s="205">
        <v>0</v>
      </c>
      <c r="N188" s="96"/>
      <c r="O188" s="308" t="e">
        <f t="shared" si="69"/>
        <v>#DIV/0!</v>
      </c>
      <c r="P188" s="309" t="e">
        <f t="shared" si="70"/>
        <v>#DIV/0!</v>
      </c>
      <c r="Q188" s="310" t="e">
        <f t="shared" si="71"/>
        <v>#DIV/0!</v>
      </c>
      <c r="R188" s="311" t="e">
        <f t="shared" si="72"/>
        <v>#DIV/0!</v>
      </c>
      <c r="S188" s="97"/>
    </row>
    <row r="189" spans="1:19" x14ac:dyDescent="0.25">
      <c r="A189" s="202" t="s">
        <v>415</v>
      </c>
      <c r="B189" s="203" t="s">
        <v>416</v>
      </c>
      <c r="C189" s="204" t="s">
        <v>341</v>
      </c>
      <c r="D189" s="205">
        <v>300</v>
      </c>
      <c r="E189" s="96"/>
      <c r="F189" s="308">
        <f t="shared" si="66"/>
        <v>0</v>
      </c>
      <c r="G189" s="205">
        <v>300</v>
      </c>
      <c r="H189" s="96"/>
      <c r="I189" s="308">
        <f t="shared" si="67"/>
        <v>0</v>
      </c>
      <c r="J189" s="205">
        <v>300</v>
      </c>
      <c r="K189" s="96"/>
      <c r="L189" s="308">
        <f t="shared" si="68"/>
        <v>0</v>
      </c>
      <c r="M189" s="205">
        <v>1000</v>
      </c>
      <c r="N189" s="96"/>
      <c r="O189" s="308">
        <f t="shared" si="69"/>
        <v>0</v>
      </c>
      <c r="P189" s="309">
        <f t="shared" si="70"/>
        <v>0</v>
      </c>
      <c r="Q189" s="310">
        <f t="shared" si="71"/>
        <v>0</v>
      </c>
      <c r="R189" s="311">
        <f t="shared" si="72"/>
        <v>0</v>
      </c>
      <c r="S189" s="97"/>
    </row>
    <row r="191" spans="1:19" ht="19.149999999999999" customHeight="1" x14ac:dyDescent="0.25">
      <c r="A191" s="316" t="s">
        <v>66</v>
      </c>
      <c r="B191" s="87" t="s">
        <v>20</v>
      </c>
      <c r="C191" s="114"/>
      <c r="D191" s="115"/>
      <c r="E191" s="262" t="s">
        <v>19</v>
      </c>
      <c r="F191" s="87" t="s">
        <v>20</v>
      </c>
      <c r="G191" s="263"/>
      <c r="H191" s="263"/>
    </row>
    <row r="192" spans="1:19" ht="21" customHeight="1" x14ac:dyDescent="0.25">
      <c r="A192" s="317"/>
      <c r="B192" s="87" t="s">
        <v>21</v>
      </c>
      <c r="C192" s="114"/>
      <c r="D192" s="115"/>
      <c r="E192" s="262"/>
      <c r="F192" s="87" t="s">
        <v>21</v>
      </c>
      <c r="G192" s="263"/>
      <c r="H192" s="263"/>
    </row>
    <row r="193" spans="1:19" ht="22.9" customHeight="1" x14ac:dyDescent="0.25">
      <c r="A193" s="318"/>
      <c r="B193" s="87" t="s">
        <v>22</v>
      </c>
      <c r="C193" s="114"/>
      <c r="D193" s="115"/>
      <c r="E193" s="262"/>
      <c r="F193" s="87" t="s">
        <v>22</v>
      </c>
      <c r="G193" s="263"/>
      <c r="H193" s="263"/>
    </row>
    <row r="198" spans="1:19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1:19" ht="22.5" x14ac:dyDescent="0.25">
      <c r="A199" s="103" t="s">
        <v>1</v>
      </c>
      <c r="B199" s="98" t="s">
        <v>39</v>
      </c>
      <c r="C199" s="104" t="s">
        <v>2</v>
      </c>
      <c r="D199" s="101" t="s">
        <v>39</v>
      </c>
      <c r="E199" s="100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x14ac:dyDescent="0.25">
      <c r="A200" s="103" t="s">
        <v>28</v>
      </c>
      <c r="B200" s="98" t="s">
        <v>103</v>
      </c>
      <c r="C200" s="104" t="s">
        <v>69</v>
      </c>
      <c r="D200" s="99">
        <v>6330</v>
      </c>
      <c r="E200" s="102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ht="15" customHeight="1" thickBot="1" x14ac:dyDescent="0.3">
      <c r="A201" s="33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ht="15" customHeight="1" thickBot="1" x14ac:dyDescent="0.3">
      <c r="A202" s="90"/>
      <c r="B202" s="91" t="s">
        <v>126</v>
      </c>
      <c r="C202" s="91"/>
      <c r="D202" s="91"/>
      <c r="E202" s="91"/>
      <c r="F202" s="91" t="s">
        <v>40</v>
      </c>
      <c r="G202" s="91"/>
      <c r="H202" s="91"/>
      <c r="I202" s="91" t="s">
        <v>41</v>
      </c>
      <c r="J202" s="91"/>
      <c r="K202" s="91"/>
      <c r="L202" s="91" t="s">
        <v>42</v>
      </c>
      <c r="M202" s="91"/>
      <c r="N202" s="91"/>
      <c r="O202" s="91" t="s">
        <v>43</v>
      </c>
      <c r="P202" s="270" t="s">
        <v>44</v>
      </c>
      <c r="Q202" s="271"/>
      <c r="R202" s="272"/>
      <c r="S202" s="273" t="s">
        <v>45</v>
      </c>
    </row>
    <row r="203" spans="1:19" ht="20.100000000000001" customHeight="1" x14ac:dyDescent="0.25">
      <c r="A203" s="322" t="s">
        <v>46</v>
      </c>
      <c r="B203" s="277" t="s">
        <v>47</v>
      </c>
      <c r="C203" s="279" t="s">
        <v>127</v>
      </c>
      <c r="D203" s="281" t="s">
        <v>128</v>
      </c>
      <c r="E203" s="283" t="s">
        <v>129</v>
      </c>
      <c r="F203" s="285" t="s">
        <v>130</v>
      </c>
      <c r="G203" s="281" t="s">
        <v>131</v>
      </c>
      <c r="H203" s="283" t="s">
        <v>132</v>
      </c>
      <c r="I203" s="285" t="s">
        <v>133</v>
      </c>
      <c r="J203" s="281" t="s">
        <v>134</v>
      </c>
      <c r="K203" s="283" t="s">
        <v>135</v>
      </c>
      <c r="L203" s="285" t="s">
        <v>136</v>
      </c>
      <c r="M203" s="281" t="s">
        <v>137</v>
      </c>
      <c r="N203" s="283" t="s">
        <v>138</v>
      </c>
      <c r="O203" s="285" t="s">
        <v>139</v>
      </c>
      <c r="P203" s="287" t="s">
        <v>140</v>
      </c>
      <c r="Q203" s="264" t="s">
        <v>141</v>
      </c>
      <c r="R203" s="267" t="s">
        <v>142</v>
      </c>
      <c r="S203" s="274"/>
    </row>
    <row r="204" spans="1:19" x14ac:dyDescent="0.25">
      <c r="A204" s="323"/>
      <c r="B204" s="278"/>
      <c r="C204" s="280"/>
      <c r="D204" s="282"/>
      <c r="E204" s="284"/>
      <c r="F204" s="286"/>
      <c r="G204" s="282"/>
      <c r="H204" s="284"/>
      <c r="I204" s="286"/>
      <c r="J204" s="282"/>
      <c r="K204" s="284"/>
      <c r="L204" s="286"/>
      <c r="M204" s="282"/>
      <c r="N204" s="284"/>
      <c r="O204" s="286"/>
      <c r="P204" s="288"/>
      <c r="Q204" s="265"/>
      <c r="R204" s="268"/>
      <c r="S204" s="275"/>
    </row>
    <row r="205" spans="1:19" x14ac:dyDescent="0.25">
      <c r="A205" s="324"/>
      <c r="B205" s="289" t="s">
        <v>184</v>
      </c>
      <c r="C205" s="290" t="s">
        <v>185</v>
      </c>
      <c r="D205" s="291">
        <v>35.64</v>
      </c>
      <c r="E205" s="292"/>
      <c r="F205" s="269"/>
      <c r="G205" s="291"/>
      <c r="H205" s="292"/>
      <c r="I205" s="269"/>
      <c r="J205" s="291">
        <v>39.74</v>
      </c>
      <c r="K205" s="292"/>
      <c r="L205" s="269"/>
      <c r="M205" s="291"/>
      <c r="N205" s="292"/>
      <c r="O205" s="269"/>
      <c r="P205" s="293"/>
      <c r="Q205" s="266"/>
      <c r="R205" s="269"/>
      <c r="S205" s="97"/>
    </row>
    <row r="206" spans="1:19" x14ac:dyDescent="0.25">
      <c r="A206" s="202" t="s">
        <v>417</v>
      </c>
      <c r="B206" s="203" t="s">
        <v>418</v>
      </c>
      <c r="C206" s="204" t="s">
        <v>338</v>
      </c>
      <c r="D206" s="205">
        <v>6140</v>
      </c>
      <c r="E206" s="96"/>
      <c r="F206" s="308">
        <f t="shared" ref="F206:F207" si="73">E206/D206</f>
        <v>0</v>
      </c>
      <c r="G206" s="205">
        <v>6000</v>
      </c>
      <c r="H206" s="96"/>
      <c r="I206" s="308">
        <f t="shared" ref="I206:I207" si="74">H206/G206</f>
        <v>0</v>
      </c>
      <c r="J206" s="205">
        <v>6000</v>
      </c>
      <c r="K206" s="96"/>
      <c r="L206" s="308">
        <f t="shared" ref="L206:L207" si="75">K206/J206</f>
        <v>0</v>
      </c>
      <c r="M206" s="205">
        <v>6409</v>
      </c>
      <c r="N206" s="96"/>
      <c r="O206" s="308">
        <f t="shared" ref="O206:O207" si="76">N206/M206</f>
        <v>0</v>
      </c>
      <c r="P206" s="309">
        <f t="shared" ref="P206:P207" si="77">O206-F206</f>
        <v>0</v>
      </c>
      <c r="Q206" s="310">
        <f t="shared" ref="Q206:Q207" si="78">O206-I206</f>
        <v>0</v>
      </c>
      <c r="R206" s="311">
        <f t="shared" ref="R206:R207" si="79">O206-L206</f>
        <v>0</v>
      </c>
      <c r="S206" s="97"/>
    </row>
    <row r="207" spans="1:19" x14ac:dyDescent="0.25">
      <c r="A207" s="202" t="s">
        <v>419</v>
      </c>
      <c r="B207" s="203" t="s">
        <v>420</v>
      </c>
      <c r="C207" s="204" t="s">
        <v>340</v>
      </c>
      <c r="D207" s="205">
        <v>21</v>
      </c>
      <c r="E207" s="96"/>
      <c r="F207" s="308">
        <f t="shared" si="73"/>
        <v>0</v>
      </c>
      <c r="G207" s="205">
        <v>24</v>
      </c>
      <c r="H207" s="96"/>
      <c r="I207" s="308">
        <f t="shared" si="74"/>
        <v>0</v>
      </c>
      <c r="J207" s="205">
        <v>24</v>
      </c>
      <c r="K207" s="96"/>
      <c r="L207" s="308">
        <f t="shared" si="75"/>
        <v>0</v>
      </c>
      <c r="M207" s="205">
        <v>24</v>
      </c>
      <c r="N207" s="96"/>
      <c r="O207" s="308">
        <f t="shared" si="76"/>
        <v>0</v>
      </c>
      <c r="P207" s="309">
        <f t="shared" si="77"/>
        <v>0</v>
      </c>
      <c r="Q207" s="310">
        <f t="shared" si="78"/>
        <v>0</v>
      </c>
      <c r="R207" s="311">
        <f t="shared" si="79"/>
        <v>0</v>
      </c>
      <c r="S207" s="97"/>
    </row>
    <row r="208" spans="1:19" s="208" customFormat="1" ht="22.5" x14ac:dyDescent="0.25">
      <c r="A208" s="202" t="s">
        <v>421</v>
      </c>
      <c r="B208" s="203" t="s">
        <v>422</v>
      </c>
      <c r="C208" s="204" t="s">
        <v>338</v>
      </c>
      <c r="D208" s="205">
        <v>3958</v>
      </c>
      <c r="E208" s="206"/>
      <c r="F208" s="308">
        <f t="shared" ref="F208" si="80">E208/D208</f>
        <v>0</v>
      </c>
      <c r="G208" s="205">
        <v>4646</v>
      </c>
      <c r="H208" s="206"/>
      <c r="I208" s="308">
        <f t="shared" ref="I208" si="81">H208/G208</f>
        <v>0</v>
      </c>
      <c r="J208" s="205">
        <v>4646</v>
      </c>
      <c r="K208" s="206"/>
      <c r="L208" s="308">
        <f t="shared" ref="L208" si="82">K208/J208</f>
        <v>0</v>
      </c>
      <c r="M208" s="205">
        <v>4209</v>
      </c>
      <c r="N208" s="206"/>
      <c r="O208" s="308">
        <f t="shared" ref="O208" si="83">N208/M208</f>
        <v>0</v>
      </c>
      <c r="P208" s="309">
        <f t="shared" ref="P208" si="84">O208-F208</f>
        <v>0</v>
      </c>
      <c r="Q208" s="310">
        <f t="shared" ref="Q208" si="85">O208-I208</f>
        <v>0</v>
      </c>
      <c r="R208" s="311">
        <f t="shared" ref="R208" si="86">O208-L208</f>
        <v>0</v>
      </c>
      <c r="S208" s="97"/>
    </row>
    <row r="210" spans="1:19" ht="19.149999999999999" customHeight="1" x14ac:dyDescent="0.25">
      <c r="A210" s="316" t="s">
        <v>66</v>
      </c>
      <c r="B210" s="87" t="s">
        <v>20</v>
      </c>
      <c r="C210" s="114"/>
      <c r="D210" s="115"/>
      <c r="E210" s="262" t="s">
        <v>19</v>
      </c>
      <c r="F210" s="87" t="s">
        <v>20</v>
      </c>
      <c r="G210" s="263"/>
      <c r="H210" s="263"/>
    </row>
    <row r="211" spans="1:19" ht="21" customHeight="1" x14ac:dyDescent="0.25">
      <c r="A211" s="317"/>
      <c r="B211" s="87" t="s">
        <v>21</v>
      </c>
      <c r="C211" s="114"/>
      <c r="D211" s="115"/>
      <c r="E211" s="262"/>
      <c r="F211" s="87" t="s">
        <v>21</v>
      </c>
      <c r="G211" s="263"/>
      <c r="H211" s="263"/>
    </row>
    <row r="212" spans="1:19" ht="22.9" customHeight="1" x14ac:dyDescent="0.25">
      <c r="A212" s="318"/>
      <c r="B212" s="87" t="s">
        <v>22</v>
      </c>
      <c r="C212" s="114"/>
      <c r="D212" s="115"/>
      <c r="E212" s="262"/>
      <c r="F212" s="87" t="s">
        <v>22</v>
      </c>
      <c r="G212" s="263"/>
      <c r="H212" s="263"/>
    </row>
    <row r="217" spans="1:19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1:19" ht="22.5" x14ac:dyDescent="0.25">
      <c r="A218" s="103" t="s">
        <v>1</v>
      </c>
      <c r="B218" s="98" t="s">
        <v>39</v>
      </c>
      <c r="C218" s="104" t="s">
        <v>2</v>
      </c>
      <c r="D218" s="101" t="s">
        <v>39</v>
      </c>
      <c r="E218" s="100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x14ac:dyDescent="0.25">
      <c r="A219" s="103" t="s">
        <v>28</v>
      </c>
      <c r="B219" s="98" t="s">
        <v>104</v>
      </c>
      <c r="C219" s="104" t="s">
        <v>69</v>
      </c>
      <c r="D219" s="99">
        <v>6440</v>
      </c>
      <c r="E219" s="102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1:19" ht="15" customHeight="1" thickBot="1" x14ac:dyDescent="0.3">
      <c r="A220" s="33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19" ht="15" customHeight="1" thickBot="1" x14ac:dyDescent="0.3">
      <c r="A221" s="90"/>
      <c r="B221" s="91" t="s">
        <v>126</v>
      </c>
      <c r="C221" s="91"/>
      <c r="D221" s="91"/>
      <c r="E221" s="91"/>
      <c r="F221" s="91" t="s">
        <v>40</v>
      </c>
      <c r="G221" s="91"/>
      <c r="H221" s="91"/>
      <c r="I221" s="91" t="s">
        <v>41</v>
      </c>
      <c r="J221" s="91"/>
      <c r="K221" s="91"/>
      <c r="L221" s="91" t="s">
        <v>42</v>
      </c>
      <c r="M221" s="91"/>
      <c r="N221" s="91"/>
      <c r="O221" s="91" t="s">
        <v>43</v>
      </c>
      <c r="P221" s="270" t="s">
        <v>44</v>
      </c>
      <c r="Q221" s="271"/>
      <c r="R221" s="272"/>
      <c r="S221" s="273" t="s">
        <v>45</v>
      </c>
    </row>
    <row r="222" spans="1:19" ht="20.100000000000001" customHeight="1" x14ac:dyDescent="0.25">
      <c r="A222" s="322" t="s">
        <v>46</v>
      </c>
      <c r="B222" s="277" t="s">
        <v>47</v>
      </c>
      <c r="C222" s="279" t="s">
        <v>127</v>
      </c>
      <c r="D222" s="281" t="s">
        <v>128</v>
      </c>
      <c r="E222" s="283" t="s">
        <v>129</v>
      </c>
      <c r="F222" s="285" t="s">
        <v>130</v>
      </c>
      <c r="G222" s="281" t="s">
        <v>131</v>
      </c>
      <c r="H222" s="283" t="s">
        <v>132</v>
      </c>
      <c r="I222" s="285" t="s">
        <v>133</v>
      </c>
      <c r="J222" s="281" t="s">
        <v>134</v>
      </c>
      <c r="K222" s="283" t="s">
        <v>135</v>
      </c>
      <c r="L222" s="285" t="s">
        <v>136</v>
      </c>
      <c r="M222" s="281" t="s">
        <v>137</v>
      </c>
      <c r="N222" s="283" t="s">
        <v>138</v>
      </c>
      <c r="O222" s="285" t="s">
        <v>139</v>
      </c>
      <c r="P222" s="287" t="s">
        <v>140</v>
      </c>
      <c r="Q222" s="264" t="s">
        <v>141</v>
      </c>
      <c r="R222" s="267" t="s">
        <v>142</v>
      </c>
      <c r="S222" s="274"/>
    </row>
    <row r="223" spans="1:19" x14ac:dyDescent="0.25">
      <c r="A223" s="323"/>
      <c r="B223" s="278"/>
      <c r="C223" s="280"/>
      <c r="D223" s="282"/>
      <c r="E223" s="284"/>
      <c r="F223" s="286"/>
      <c r="G223" s="282"/>
      <c r="H223" s="284"/>
      <c r="I223" s="286"/>
      <c r="J223" s="282"/>
      <c r="K223" s="284"/>
      <c r="L223" s="286"/>
      <c r="M223" s="282"/>
      <c r="N223" s="284"/>
      <c r="O223" s="286"/>
      <c r="P223" s="288"/>
      <c r="Q223" s="265"/>
      <c r="R223" s="268"/>
      <c r="S223" s="275"/>
    </row>
    <row r="224" spans="1:19" x14ac:dyDescent="0.25">
      <c r="A224" s="324"/>
      <c r="B224" s="289" t="s">
        <v>188</v>
      </c>
      <c r="C224" s="290" t="s">
        <v>189</v>
      </c>
      <c r="D224" s="291">
        <v>0</v>
      </c>
      <c r="E224" s="292"/>
      <c r="F224" s="269"/>
      <c r="G224" s="291"/>
      <c r="H224" s="292"/>
      <c r="I224" s="269"/>
      <c r="J224" s="291">
        <v>8.11</v>
      </c>
      <c r="K224" s="292"/>
      <c r="L224" s="269"/>
      <c r="M224" s="291"/>
      <c r="N224" s="292"/>
      <c r="O224" s="269"/>
      <c r="P224" s="293"/>
      <c r="Q224" s="266"/>
      <c r="R224" s="269"/>
      <c r="S224" s="97"/>
    </row>
    <row r="225" spans="1:19" x14ac:dyDescent="0.25">
      <c r="A225" s="202" t="s">
        <v>423</v>
      </c>
      <c r="B225" s="203" t="s">
        <v>424</v>
      </c>
      <c r="C225" s="204" t="s">
        <v>339</v>
      </c>
      <c r="D225" s="205">
        <v>42</v>
      </c>
      <c r="E225" s="96"/>
      <c r="F225" s="308">
        <f t="shared" ref="F225:F226" si="87">E225/D225</f>
        <v>0</v>
      </c>
      <c r="G225" s="205">
        <v>42</v>
      </c>
      <c r="H225" s="96"/>
      <c r="I225" s="308">
        <f t="shared" ref="I225:I226" si="88">H225/G225</f>
        <v>0</v>
      </c>
      <c r="J225" s="205">
        <v>42</v>
      </c>
      <c r="K225" s="96"/>
      <c r="L225" s="308">
        <f t="shared" ref="L225:L226" si="89">K225/J225</f>
        <v>0</v>
      </c>
      <c r="M225" s="205">
        <v>43</v>
      </c>
      <c r="N225" s="96"/>
      <c r="O225" s="308">
        <f t="shared" ref="O225:O226" si="90">N225/M225</f>
        <v>0</v>
      </c>
      <c r="P225" s="309">
        <f t="shared" ref="P225:P226" si="91">O225-F225</f>
        <v>0</v>
      </c>
      <c r="Q225" s="310">
        <f t="shared" ref="Q225:Q226" si="92">O225-I225</f>
        <v>0</v>
      </c>
      <c r="R225" s="311">
        <f t="shared" ref="R225:R226" si="93">O225-L225</f>
        <v>0</v>
      </c>
      <c r="S225" s="97"/>
    </row>
    <row r="226" spans="1:19" x14ac:dyDescent="0.25">
      <c r="A226" s="202" t="s">
        <v>425</v>
      </c>
      <c r="B226" s="203" t="s">
        <v>426</v>
      </c>
      <c r="C226" s="204" t="s">
        <v>339</v>
      </c>
      <c r="D226" s="205">
        <v>6</v>
      </c>
      <c r="E226" s="96"/>
      <c r="F226" s="308">
        <f t="shared" si="87"/>
        <v>0</v>
      </c>
      <c r="G226" s="205">
        <v>6.5</v>
      </c>
      <c r="H226" s="96"/>
      <c r="I226" s="308">
        <f t="shared" si="88"/>
        <v>0</v>
      </c>
      <c r="J226" s="205">
        <v>6.5</v>
      </c>
      <c r="K226" s="96"/>
      <c r="L226" s="308">
        <f t="shared" si="89"/>
        <v>0</v>
      </c>
      <c r="M226" s="205">
        <v>7</v>
      </c>
      <c r="N226" s="96"/>
      <c r="O226" s="308">
        <f t="shared" si="90"/>
        <v>0</v>
      </c>
      <c r="P226" s="309">
        <f t="shared" si="91"/>
        <v>0</v>
      </c>
      <c r="Q226" s="310">
        <f t="shared" si="92"/>
        <v>0</v>
      </c>
      <c r="R226" s="311">
        <f t="shared" si="93"/>
        <v>0</v>
      </c>
      <c r="S226" s="97"/>
    </row>
    <row r="228" spans="1:19" ht="19.149999999999999" customHeight="1" x14ac:dyDescent="0.25">
      <c r="A228" s="316" t="s">
        <v>66</v>
      </c>
      <c r="B228" s="87" t="s">
        <v>20</v>
      </c>
      <c r="C228" s="114"/>
      <c r="D228" s="115"/>
      <c r="E228" s="262" t="s">
        <v>19</v>
      </c>
      <c r="F228" s="87" t="s">
        <v>20</v>
      </c>
      <c r="G228" s="263"/>
      <c r="H228" s="263"/>
    </row>
    <row r="229" spans="1:19" ht="21" customHeight="1" x14ac:dyDescent="0.25">
      <c r="A229" s="317"/>
      <c r="B229" s="87" t="s">
        <v>21</v>
      </c>
      <c r="C229" s="114"/>
      <c r="D229" s="115"/>
      <c r="E229" s="262"/>
      <c r="F229" s="87" t="s">
        <v>21</v>
      </c>
      <c r="G229" s="263"/>
      <c r="H229" s="263"/>
    </row>
    <row r="230" spans="1:19" ht="22.9" customHeight="1" x14ac:dyDescent="0.25">
      <c r="A230" s="318"/>
      <c r="B230" s="87" t="s">
        <v>22</v>
      </c>
      <c r="C230" s="114"/>
      <c r="D230" s="115"/>
      <c r="E230" s="262"/>
      <c r="F230" s="87" t="s">
        <v>22</v>
      </c>
      <c r="G230" s="263"/>
      <c r="H230" s="263"/>
    </row>
    <row r="235" spans="1:19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1:19" ht="22.5" x14ac:dyDescent="0.25">
      <c r="A236" s="103" t="s">
        <v>1</v>
      </c>
      <c r="B236" s="98" t="s">
        <v>39</v>
      </c>
      <c r="C236" s="104" t="s">
        <v>2</v>
      </c>
      <c r="D236" s="101" t="s">
        <v>39</v>
      </c>
      <c r="E236" s="100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1:19" x14ac:dyDescent="0.25">
      <c r="A237" s="103" t="s">
        <v>28</v>
      </c>
      <c r="B237" s="98" t="s">
        <v>105</v>
      </c>
      <c r="C237" s="104" t="s">
        <v>69</v>
      </c>
      <c r="D237" s="99">
        <v>7220</v>
      </c>
      <c r="E237" s="102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1:19" ht="15" customHeight="1" thickBot="1" x14ac:dyDescent="0.3">
      <c r="A238" s="33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1:19" ht="15" customHeight="1" thickBot="1" x14ac:dyDescent="0.3">
      <c r="A239" s="90"/>
      <c r="B239" s="91" t="s">
        <v>126</v>
      </c>
      <c r="C239" s="91"/>
      <c r="D239" s="91"/>
      <c r="E239" s="91"/>
      <c r="F239" s="91" t="s">
        <v>40</v>
      </c>
      <c r="G239" s="91"/>
      <c r="H239" s="91"/>
      <c r="I239" s="91" t="s">
        <v>41</v>
      </c>
      <c r="J239" s="91"/>
      <c r="K239" s="91"/>
      <c r="L239" s="91" t="s">
        <v>42</v>
      </c>
      <c r="M239" s="91"/>
      <c r="N239" s="91"/>
      <c r="O239" s="91" t="s">
        <v>43</v>
      </c>
      <c r="P239" s="270" t="s">
        <v>44</v>
      </c>
      <c r="Q239" s="271"/>
      <c r="R239" s="272"/>
      <c r="S239" s="273" t="s">
        <v>45</v>
      </c>
    </row>
    <row r="240" spans="1:19" ht="20.100000000000001" customHeight="1" x14ac:dyDescent="0.25">
      <c r="A240" s="322" t="s">
        <v>46</v>
      </c>
      <c r="B240" s="277" t="s">
        <v>47</v>
      </c>
      <c r="C240" s="279" t="s">
        <v>127</v>
      </c>
      <c r="D240" s="281" t="s">
        <v>128</v>
      </c>
      <c r="E240" s="283" t="s">
        <v>129</v>
      </c>
      <c r="F240" s="285" t="s">
        <v>130</v>
      </c>
      <c r="G240" s="281" t="s">
        <v>131</v>
      </c>
      <c r="H240" s="283" t="s">
        <v>132</v>
      </c>
      <c r="I240" s="285" t="s">
        <v>133</v>
      </c>
      <c r="J240" s="281" t="s">
        <v>134</v>
      </c>
      <c r="K240" s="283" t="s">
        <v>135</v>
      </c>
      <c r="L240" s="285" t="s">
        <v>136</v>
      </c>
      <c r="M240" s="281" t="s">
        <v>137</v>
      </c>
      <c r="N240" s="283" t="s">
        <v>138</v>
      </c>
      <c r="O240" s="285" t="s">
        <v>139</v>
      </c>
      <c r="P240" s="287" t="s">
        <v>140</v>
      </c>
      <c r="Q240" s="264" t="s">
        <v>141</v>
      </c>
      <c r="R240" s="267" t="s">
        <v>142</v>
      </c>
      <c r="S240" s="274"/>
    </row>
    <row r="241" spans="1:19" x14ac:dyDescent="0.25">
      <c r="A241" s="323"/>
      <c r="B241" s="278"/>
      <c r="C241" s="280"/>
      <c r="D241" s="282"/>
      <c r="E241" s="284"/>
      <c r="F241" s="286"/>
      <c r="G241" s="282"/>
      <c r="H241" s="284"/>
      <c r="I241" s="286"/>
      <c r="J241" s="282"/>
      <c r="K241" s="284"/>
      <c r="L241" s="286"/>
      <c r="M241" s="282"/>
      <c r="N241" s="284"/>
      <c r="O241" s="286"/>
      <c r="P241" s="288"/>
      <c r="Q241" s="265"/>
      <c r="R241" s="268"/>
      <c r="S241" s="275"/>
    </row>
    <row r="242" spans="1:19" x14ac:dyDescent="0.25">
      <c r="A242" s="324"/>
      <c r="B242" s="289" t="s">
        <v>193</v>
      </c>
      <c r="C242" s="290" t="s">
        <v>194</v>
      </c>
      <c r="D242" s="291">
        <v>-2.3199999999999998</v>
      </c>
      <c r="E242" s="292"/>
      <c r="F242" s="269"/>
      <c r="G242" s="291"/>
      <c r="H242" s="292"/>
      <c r="I242" s="269"/>
      <c r="J242" s="291">
        <v>-5.01</v>
      </c>
      <c r="K242" s="292"/>
      <c r="L242" s="269"/>
      <c r="M242" s="291"/>
      <c r="N242" s="292"/>
      <c r="O242" s="269"/>
      <c r="P242" s="293"/>
      <c r="Q242" s="266"/>
      <c r="R242" s="269"/>
      <c r="S242" s="97"/>
    </row>
    <row r="243" spans="1:19" x14ac:dyDescent="0.25">
      <c r="A243" s="202" t="s">
        <v>427</v>
      </c>
      <c r="B243" s="203" t="s">
        <v>428</v>
      </c>
      <c r="C243" s="204" t="s">
        <v>338</v>
      </c>
      <c r="D243" s="205">
        <v>3</v>
      </c>
      <c r="E243" s="96"/>
      <c r="F243" s="308">
        <f t="shared" ref="F243" si="94">E243/D243</f>
        <v>0</v>
      </c>
      <c r="G243" s="95">
        <v>1</v>
      </c>
      <c r="H243" s="96"/>
      <c r="I243" s="308">
        <f t="shared" ref="I243" si="95">H243/G243</f>
        <v>0</v>
      </c>
      <c r="J243" s="95">
        <v>1</v>
      </c>
      <c r="K243" s="96"/>
      <c r="L243" s="308">
        <f t="shared" ref="L243" si="96">K243/J243</f>
        <v>0</v>
      </c>
      <c r="M243" s="95">
        <v>2</v>
      </c>
      <c r="N243" s="96"/>
      <c r="O243" s="308">
        <f t="shared" ref="O243" si="97">N243/M243</f>
        <v>0</v>
      </c>
      <c r="P243" s="309">
        <f t="shared" ref="P243" si="98">O243-F243</f>
        <v>0</v>
      </c>
      <c r="Q243" s="310">
        <f t="shared" ref="Q243" si="99">O243-I243</f>
        <v>0</v>
      </c>
      <c r="R243" s="311">
        <f t="shared" ref="R243" si="100">O243-L243</f>
        <v>0</v>
      </c>
      <c r="S243" s="97"/>
    </row>
    <row r="245" spans="1:19" ht="19.149999999999999" customHeight="1" x14ac:dyDescent="0.25">
      <c r="A245" s="316" t="s">
        <v>66</v>
      </c>
      <c r="B245" s="87" t="s">
        <v>20</v>
      </c>
      <c r="C245" s="114"/>
      <c r="D245" s="115"/>
      <c r="E245" s="262" t="s">
        <v>19</v>
      </c>
      <c r="F245" s="87" t="s">
        <v>20</v>
      </c>
      <c r="G245" s="263"/>
      <c r="H245" s="263"/>
    </row>
    <row r="246" spans="1:19" ht="21" customHeight="1" x14ac:dyDescent="0.25">
      <c r="A246" s="317"/>
      <c r="B246" s="87" t="s">
        <v>21</v>
      </c>
      <c r="C246" s="114"/>
      <c r="D246" s="115"/>
      <c r="E246" s="262"/>
      <c r="F246" s="87" t="s">
        <v>21</v>
      </c>
      <c r="G246" s="263"/>
      <c r="H246" s="263"/>
    </row>
    <row r="247" spans="1:19" ht="22.9" customHeight="1" x14ac:dyDescent="0.25">
      <c r="A247" s="318"/>
      <c r="B247" s="87" t="s">
        <v>22</v>
      </c>
      <c r="C247" s="114"/>
      <c r="D247" s="115"/>
      <c r="E247" s="262"/>
      <c r="F247" s="87" t="s">
        <v>22</v>
      </c>
      <c r="G247" s="263"/>
      <c r="H247" s="263"/>
    </row>
    <row r="252" spans="1:19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</row>
    <row r="253" spans="1:19" ht="22.5" x14ac:dyDescent="0.25">
      <c r="A253" s="103" t="s">
        <v>1</v>
      </c>
      <c r="B253" s="98" t="s">
        <v>39</v>
      </c>
      <c r="C253" s="104" t="s">
        <v>2</v>
      </c>
      <c r="D253" s="101" t="s">
        <v>39</v>
      </c>
      <c r="E253" s="100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1:19" x14ac:dyDescent="0.25">
      <c r="A254" s="103" t="s">
        <v>28</v>
      </c>
      <c r="B254" s="98" t="s">
        <v>106</v>
      </c>
      <c r="C254" s="104" t="s">
        <v>69</v>
      </c>
      <c r="D254" s="99">
        <v>8130</v>
      </c>
      <c r="E254" s="102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1:19" ht="15" customHeight="1" thickBot="1" x14ac:dyDescent="0.3">
      <c r="A255" s="33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</row>
    <row r="256" spans="1:19" ht="15" customHeight="1" thickBot="1" x14ac:dyDescent="0.3">
      <c r="A256" s="90"/>
      <c r="B256" s="91" t="s">
        <v>126</v>
      </c>
      <c r="C256" s="91"/>
      <c r="D256" s="91"/>
      <c r="E256" s="91"/>
      <c r="F256" s="91" t="s">
        <v>40</v>
      </c>
      <c r="G256" s="91"/>
      <c r="H256" s="91"/>
      <c r="I256" s="91" t="s">
        <v>41</v>
      </c>
      <c r="J256" s="91"/>
      <c r="K256" s="91"/>
      <c r="L256" s="91" t="s">
        <v>42</v>
      </c>
      <c r="M256" s="91"/>
      <c r="N256" s="91"/>
      <c r="O256" s="91" t="s">
        <v>43</v>
      </c>
      <c r="P256" s="270" t="s">
        <v>44</v>
      </c>
      <c r="Q256" s="271"/>
      <c r="R256" s="272"/>
      <c r="S256" s="273" t="s">
        <v>45</v>
      </c>
    </row>
    <row r="257" spans="1:19" ht="20.100000000000001" customHeight="1" x14ac:dyDescent="0.25">
      <c r="A257" s="322" t="s">
        <v>46</v>
      </c>
      <c r="B257" s="277" t="s">
        <v>47</v>
      </c>
      <c r="C257" s="279" t="s">
        <v>127</v>
      </c>
      <c r="D257" s="281" t="s">
        <v>128</v>
      </c>
      <c r="E257" s="283" t="s">
        <v>129</v>
      </c>
      <c r="F257" s="285" t="s">
        <v>130</v>
      </c>
      <c r="G257" s="281" t="s">
        <v>131</v>
      </c>
      <c r="H257" s="283" t="s">
        <v>132</v>
      </c>
      <c r="I257" s="285" t="s">
        <v>133</v>
      </c>
      <c r="J257" s="281" t="s">
        <v>134</v>
      </c>
      <c r="K257" s="283" t="s">
        <v>135</v>
      </c>
      <c r="L257" s="285" t="s">
        <v>136</v>
      </c>
      <c r="M257" s="281" t="s">
        <v>137</v>
      </c>
      <c r="N257" s="283" t="s">
        <v>138</v>
      </c>
      <c r="O257" s="285" t="s">
        <v>139</v>
      </c>
      <c r="P257" s="287" t="s">
        <v>140</v>
      </c>
      <c r="Q257" s="264" t="s">
        <v>141</v>
      </c>
      <c r="R257" s="267" t="s">
        <v>142</v>
      </c>
      <c r="S257" s="274"/>
    </row>
    <row r="258" spans="1:19" x14ac:dyDescent="0.25">
      <c r="A258" s="323"/>
      <c r="B258" s="278"/>
      <c r="C258" s="280"/>
      <c r="D258" s="282"/>
      <c r="E258" s="284"/>
      <c r="F258" s="286"/>
      <c r="G258" s="282"/>
      <c r="H258" s="284"/>
      <c r="I258" s="286"/>
      <c r="J258" s="282"/>
      <c r="K258" s="284"/>
      <c r="L258" s="286"/>
      <c r="M258" s="282"/>
      <c r="N258" s="284"/>
      <c r="O258" s="286"/>
      <c r="P258" s="288"/>
      <c r="Q258" s="265"/>
      <c r="R258" s="268"/>
      <c r="S258" s="275"/>
    </row>
    <row r="259" spans="1:19" x14ac:dyDescent="0.25">
      <c r="A259" s="324"/>
      <c r="B259" s="289" t="s">
        <v>195</v>
      </c>
      <c r="C259" s="290" t="s">
        <v>196</v>
      </c>
      <c r="D259" s="291">
        <v>33.33</v>
      </c>
      <c r="E259" s="292"/>
      <c r="F259" s="269"/>
      <c r="G259" s="291"/>
      <c r="H259" s="292"/>
      <c r="I259" s="269"/>
      <c r="J259" s="291">
        <v>0</v>
      </c>
      <c r="K259" s="292"/>
      <c r="L259" s="269"/>
      <c r="M259" s="291"/>
      <c r="N259" s="292"/>
      <c r="O259" s="269"/>
      <c r="P259" s="293"/>
      <c r="Q259" s="266"/>
      <c r="R259" s="269"/>
      <c r="S259" s="97"/>
    </row>
    <row r="260" spans="1:19" ht="22.5" x14ac:dyDescent="0.25">
      <c r="A260" s="202" t="s">
        <v>429</v>
      </c>
      <c r="B260" s="203" t="s">
        <v>430</v>
      </c>
      <c r="C260" s="94" t="s">
        <v>338</v>
      </c>
      <c r="D260" s="205">
        <v>6</v>
      </c>
      <c r="E260" s="96"/>
      <c r="F260" s="308">
        <f t="shared" ref="F260" si="101">E260/D260</f>
        <v>0</v>
      </c>
      <c r="G260" s="95">
        <v>20</v>
      </c>
      <c r="H260" s="96"/>
      <c r="I260" s="308">
        <f t="shared" ref="I260" si="102">H260/G260</f>
        <v>0</v>
      </c>
      <c r="J260" s="95">
        <v>20</v>
      </c>
      <c r="K260" s="96"/>
      <c r="L260" s="308">
        <f t="shared" ref="L260" si="103">K260/J260</f>
        <v>0</v>
      </c>
      <c r="M260" s="95">
        <v>20</v>
      </c>
      <c r="N260" s="96"/>
      <c r="O260" s="308">
        <f t="shared" ref="O260" si="104">N260/M260</f>
        <v>0</v>
      </c>
      <c r="P260" s="309">
        <f t="shared" ref="P260" si="105">O260-F260</f>
        <v>0</v>
      </c>
      <c r="Q260" s="310">
        <f t="shared" ref="Q260" si="106">O260-I260</f>
        <v>0</v>
      </c>
      <c r="R260" s="311">
        <f t="shared" ref="R260" si="107">O260-L260</f>
        <v>0</v>
      </c>
      <c r="S260" s="97"/>
    </row>
    <row r="262" spans="1:19" ht="19.149999999999999" customHeight="1" x14ac:dyDescent="0.25">
      <c r="A262" s="316" t="s">
        <v>66</v>
      </c>
      <c r="B262" s="87" t="s">
        <v>20</v>
      </c>
      <c r="C262" s="114"/>
      <c r="D262" s="115"/>
      <c r="E262" s="262" t="s">
        <v>19</v>
      </c>
      <c r="F262" s="87" t="s">
        <v>20</v>
      </c>
      <c r="G262" s="263"/>
      <c r="H262" s="263"/>
    </row>
    <row r="263" spans="1:19" ht="21" customHeight="1" x14ac:dyDescent="0.25">
      <c r="A263" s="317"/>
      <c r="B263" s="87" t="s">
        <v>21</v>
      </c>
      <c r="C263" s="114"/>
      <c r="D263" s="115"/>
      <c r="E263" s="262"/>
      <c r="F263" s="87" t="s">
        <v>21</v>
      </c>
      <c r="G263" s="263"/>
      <c r="H263" s="263"/>
    </row>
    <row r="264" spans="1:19" ht="22.9" customHeight="1" x14ac:dyDescent="0.25">
      <c r="A264" s="318"/>
      <c r="B264" s="87" t="s">
        <v>22</v>
      </c>
      <c r="C264" s="114"/>
      <c r="D264" s="115"/>
      <c r="E264" s="262"/>
      <c r="F264" s="87" t="s">
        <v>22</v>
      </c>
      <c r="G264" s="263"/>
      <c r="H264" s="263"/>
    </row>
    <row r="269" spans="1:19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1:19" ht="22.5" x14ac:dyDescent="0.25">
      <c r="A270" s="103" t="s">
        <v>1</v>
      </c>
      <c r="B270" s="98" t="s">
        <v>39</v>
      </c>
      <c r="C270" s="104" t="s">
        <v>2</v>
      </c>
      <c r="D270" s="101" t="s">
        <v>39</v>
      </c>
      <c r="E270" s="100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</row>
    <row r="271" spans="1:19" x14ac:dyDescent="0.25">
      <c r="A271" s="103" t="s">
        <v>28</v>
      </c>
      <c r="B271" s="98" t="s">
        <v>107</v>
      </c>
      <c r="C271" s="104" t="s">
        <v>69</v>
      </c>
      <c r="D271" s="99">
        <v>8220</v>
      </c>
      <c r="E271" s="102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</row>
    <row r="272" spans="1:19" ht="15" customHeight="1" thickBot="1" x14ac:dyDescent="0.3">
      <c r="A272" s="33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1:19" ht="15" customHeight="1" thickBot="1" x14ac:dyDescent="0.3">
      <c r="A273" s="90"/>
      <c r="B273" s="91" t="s">
        <v>126</v>
      </c>
      <c r="C273" s="91"/>
      <c r="D273" s="91"/>
      <c r="E273" s="91"/>
      <c r="F273" s="91" t="s">
        <v>40</v>
      </c>
      <c r="G273" s="91"/>
      <c r="H273" s="91"/>
      <c r="I273" s="91" t="s">
        <v>41</v>
      </c>
      <c r="J273" s="91"/>
      <c r="K273" s="91"/>
      <c r="L273" s="91" t="s">
        <v>42</v>
      </c>
      <c r="M273" s="91"/>
      <c r="N273" s="91"/>
      <c r="O273" s="91" t="s">
        <v>43</v>
      </c>
      <c r="P273" s="270" t="s">
        <v>44</v>
      </c>
      <c r="Q273" s="271"/>
      <c r="R273" s="272"/>
      <c r="S273" s="273" t="s">
        <v>45</v>
      </c>
    </row>
    <row r="274" spans="1:19" ht="20.100000000000001" customHeight="1" x14ac:dyDescent="0.25">
      <c r="A274" s="322" t="s">
        <v>46</v>
      </c>
      <c r="B274" s="277" t="s">
        <v>47</v>
      </c>
      <c r="C274" s="279" t="s">
        <v>127</v>
      </c>
      <c r="D274" s="281" t="s">
        <v>128</v>
      </c>
      <c r="E274" s="283" t="s">
        <v>129</v>
      </c>
      <c r="F274" s="285" t="s">
        <v>130</v>
      </c>
      <c r="G274" s="281" t="s">
        <v>131</v>
      </c>
      <c r="H274" s="283" t="s">
        <v>132</v>
      </c>
      <c r="I274" s="285" t="s">
        <v>133</v>
      </c>
      <c r="J274" s="281" t="s">
        <v>134</v>
      </c>
      <c r="K274" s="283" t="s">
        <v>135</v>
      </c>
      <c r="L274" s="285" t="s">
        <v>136</v>
      </c>
      <c r="M274" s="281" t="s">
        <v>137</v>
      </c>
      <c r="N274" s="283" t="s">
        <v>138</v>
      </c>
      <c r="O274" s="285" t="s">
        <v>139</v>
      </c>
      <c r="P274" s="287" t="s">
        <v>140</v>
      </c>
      <c r="Q274" s="264" t="s">
        <v>141</v>
      </c>
      <c r="R274" s="267" t="s">
        <v>142</v>
      </c>
      <c r="S274" s="274"/>
    </row>
    <row r="275" spans="1:19" x14ac:dyDescent="0.25">
      <c r="A275" s="323"/>
      <c r="B275" s="278"/>
      <c r="C275" s="280"/>
      <c r="D275" s="282"/>
      <c r="E275" s="284"/>
      <c r="F275" s="286"/>
      <c r="G275" s="282"/>
      <c r="H275" s="284"/>
      <c r="I275" s="286"/>
      <c r="J275" s="282"/>
      <c r="K275" s="284"/>
      <c r="L275" s="286"/>
      <c r="M275" s="282"/>
      <c r="N275" s="284"/>
      <c r="O275" s="286"/>
      <c r="P275" s="288"/>
      <c r="Q275" s="265"/>
      <c r="R275" s="268"/>
      <c r="S275" s="275"/>
    </row>
    <row r="276" spans="1:19" x14ac:dyDescent="0.25">
      <c r="A276" s="324"/>
      <c r="B276" s="289" t="s">
        <v>197</v>
      </c>
      <c r="C276" s="290" t="s">
        <v>198</v>
      </c>
      <c r="D276" s="291">
        <v>33.33</v>
      </c>
      <c r="E276" s="292"/>
      <c r="F276" s="269"/>
      <c r="G276" s="291"/>
      <c r="H276" s="292"/>
      <c r="I276" s="269"/>
      <c r="J276" s="291">
        <v>-75</v>
      </c>
      <c r="K276" s="292"/>
      <c r="L276" s="269"/>
      <c r="M276" s="291"/>
      <c r="N276" s="292"/>
      <c r="O276" s="269"/>
      <c r="P276" s="293"/>
      <c r="Q276" s="266"/>
      <c r="R276" s="269"/>
      <c r="S276" s="97"/>
    </row>
    <row r="277" spans="1:19" ht="22.5" x14ac:dyDescent="0.25">
      <c r="A277" s="92">
        <v>6</v>
      </c>
      <c r="B277" s="93" t="s">
        <v>199</v>
      </c>
      <c r="C277" s="94"/>
      <c r="D277" s="95">
        <v>5</v>
      </c>
      <c r="E277" s="96"/>
      <c r="F277" s="308">
        <f t="shared" ref="F277" si="108">E277/D277</f>
        <v>0</v>
      </c>
      <c r="G277" s="95">
        <v>4</v>
      </c>
      <c r="H277" s="96"/>
      <c r="I277" s="308">
        <f t="shared" ref="I277" si="109">H277/G277</f>
        <v>0</v>
      </c>
      <c r="J277" s="95">
        <v>4</v>
      </c>
      <c r="K277" s="96"/>
      <c r="L277" s="308">
        <f t="shared" ref="L277" si="110">K277/J277</f>
        <v>0</v>
      </c>
      <c r="M277" s="95">
        <v>5</v>
      </c>
      <c r="N277" s="96"/>
      <c r="O277" s="308">
        <f t="shared" ref="O277" si="111">N277/M277</f>
        <v>0</v>
      </c>
      <c r="P277" s="309">
        <f t="shared" ref="P277" si="112">O277-F277</f>
        <v>0</v>
      </c>
      <c r="Q277" s="310">
        <f t="shared" ref="Q277" si="113">O277-I277</f>
        <v>0</v>
      </c>
      <c r="R277" s="311">
        <f t="shared" ref="R277" si="114">O277-L277</f>
        <v>0</v>
      </c>
      <c r="S277" s="97"/>
    </row>
    <row r="279" spans="1:19" ht="19.149999999999999" customHeight="1" x14ac:dyDescent="0.25">
      <c r="A279" s="316" t="s">
        <v>66</v>
      </c>
      <c r="B279" s="87" t="s">
        <v>20</v>
      </c>
      <c r="C279" s="114"/>
      <c r="D279" s="115"/>
      <c r="E279" s="262" t="s">
        <v>19</v>
      </c>
      <c r="F279" s="87" t="s">
        <v>20</v>
      </c>
      <c r="G279" s="263"/>
      <c r="H279" s="263"/>
    </row>
    <row r="280" spans="1:19" ht="21" customHeight="1" x14ac:dyDescent="0.25">
      <c r="A280" s="317"/>
      <c r="B280" s="87" t="s">
        <v>21</v>
      </c>
      <c r="C280" s="114"/>
      <c r="D280" s="115"/>
      <c r="E280" s="262"/>
      <c r="F280" s="87" t="s">
        <v>21</v>
      </c>
      <c r="G280" s="263"/>
      <c r="H280" s="263"/>
    </row>
    <row r="281" spans="1:19" ht="22.9" customHeight="1" x14ac:dyDescent="0.25">
      <c r="A281" s="318"/>
      <c r="B281" s="87" t="s">
        <v>22</v>
      </c>
      <c r="C281" s="114"/>
      <c r="D281" s="115"/>
      <c r="E281" s="262"/>
      <c r="F281" s="87" t="s">
        <v>22</v>
      </c>
      <c r="G281" s="263"/>
      <c r="H281" s="263"/>
    </row>
    <row r="286" spans="1:19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</row>
    <row r="287" spans="1:19" ht="22.5" x14ac:dyDescent="0.25">
      <c r="A287" s="103" t="s">
        <v>1</v>
      </c>
      <c r="B287" s="98" t="s">
        <v>39</v>
      </c>
      <c r="C287" s="104" t="s">
        <v>2</v>
      </c>
      <c r="D287" s="101" t="s">
        <v>39</v>
      </c>
      <c r="E287" s="100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1:19" x14ac:dyDescent="0.25">
      <c r="A288" s="103" t="s">
        <v>28</v>
      </c>
      <c r="B288" s="98" t="s">
        <v>109</v>
      </c>
      <c r="C288" s="104" t="s">
        <v>69</v>
      </c>
      <c r="D288" s="99">
        <v>9230</v>
      </c>
      <c r="E288" s="102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1:19" ht="15" customHeight="1" thickBot="1" x14ac:dyDescent="0.3">
      <c r="A289" s="33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ht="15" customHeight="1" thickBot="1" x14ac:dyDescent="0.3">
      <c r="A290" s="90"/>
      <c r="B290" s="91" t="s">
        <v>126</v>
      </c>
      <c r="C290" s="91"/>
      <c r="D290" s="91"/>
      <c r="E290" s="91"/>
      <c r="F290" s="91" t="s">
        <v>40</v>
      </c>
      <c r="G290" s="91"/>
      <c r="H290" s="91"/>
      <c r="I290" s="91" t="s">
        <v>41</v>
      </c>
      <c r="J290" s="91"/>
      <c r="K290" s="91"/>
      <c r="L290" s="91" t="s">
        <v>42</v>
      </c>
      <c r="M290" s="91"/>
      <c r="N290" s="91"/>
      <c r="O290" s="91" t="s">
        <v>43</v>
      </c>
      <c r="P290" s="270" t="s">
        <v>44</v>
      </c>
      <c r="Q290" s="271"/>
      <c r="R290" s="272"/>
      <c r="S290" s="273" t="s">
        <v>45</v>
      </c>
    </row>
    <row r="291" spans="1:19" ht="20.100000000000001" customHeight="1" x14ac:dyDescent="0.25">
      <c r="A291" s="322" t="s">
        <v>46</v>
      </c>
      <c r="B291" s="277" t="s">
        <v>47</v>
      </c>
      <c r="C291" s="279" t="s">
        <v>127</v>
      </c>
      <c r="D291" s="281" t="s">
        <v>128</v>
      </c>
      <c r="E291" s="283" t="s">
        <v>129</v>
      </c>
      <c r="F291" s="285" t="s">
        <v>130</v>
      </c>
      <c r="G291" s="281" t="s">
        <v>131</v>
      </c>
      <c r="H291" s="283" t="s">
        <v>132</v>
      </c>
      <c r="I291" s="285" t="s">
        <v>133</v>
      </c>
      <c r="J291" s="281" t="s">
        <v>134</v>
      </c>
      <c r="K291" s="283" t="s">
        <v>135</v>
      </c>
      <c r="L291" s="285" t="s">
        <v>136</v>
      </c>
      <c r="M291" s="281" t="s">
        <v>137</v>
      </c>
      <c r="N291" s="283" t="s">
        <v>138</v>
      </c>
      <c r="O291" s="285" t="s">
        <v>139</v>
      </c>
      <c r="P291" s="287" t="s">
        <v>140</v>
      </c>
      <c r="Q291" s="264" t="s">
        <v>141</v>
      </c>
      <c r="R291" s="267" t="s">
        <v>142</v>
      </c>
      <c r="S291" s="274"/>
    </row>
    <row r="292" spans="1:19" x14ac:dyDescent="0.25">
      <c r="A292" s="323"/>
      <c r="B292" s="278"/>
      <c r="C292" s="280"/>
      <c r="D292" s="282"/>
      <c r="E292" s="284"/>
      <c r="F292" s="286"/>
      <c r="G292" s="282"/>
      <c r="H292" s="284"/>
      <c r="I292" s="286"/>
      <c r="J292" s="282"/>
      <c r="K292" s="284"/>
      <c r="L292" s="286"/>
      <c r="M292" s="282"/>
      <c r="N292" s="284"/>
      <c r="O292" s="286"/>
      <c r="P292" s="288"/>
      <c r="Q292" s="265"/>
      <c r="R292" s="268"/>
      <c r="S292" s="275"/>
    </row>
    <row r="293" spans="1:19" x14ac:dyDescent="0.25">
      <c r="A293" s="324"/>
      <c r="B293" s="289" t="s">
        <v>203</v>
      </c>
      <c r="C293" s="290" t="s">
        <v>204</v>
      </c>
      <c r="D293" s="291">
        <v>297</v>
      </c>
      <c r="E293" s="292"/>
      <c r="F293" s="269"/>
      <c r="G293" s="291"/>
      <c r="H293" s="292"/>
      <c r="I293" s="269"/>
      <c r="J293" s="291">
        <v>322.22000000000003</v>
      </c>
      <c r="K293" s="292"/>
      <c r="L293" s="269"/>
      <c r="M293" s="291"/>
      <c r="N293" s="292"/>
      <c r="O293" s="269"/>
      <c r="P293" s="293"/>
      <c r="Q293" s="266"/>
      <c r="R293" s="269"/>
      <c r="S293" s="97"/>
    </row>
    <row r="294" spans="1:19" x14ac:dyDescent="0.25">
      <c r="A294" s="202" t="s">
        <v>431</v>
      </c>
      <c r="B294" s="203" t="s">
        <v>432</v>
      </c>
      <c r="C294" s="204" t="s">
        <v>338</v>
      </c>
      <c r="D294" s="205">
        <v>4</v>
      </c>
      <c r="E294" s="96"/>
      <c r="F294" s="308">
        <f t="shared" ref="F294" si="115">E294/D294</f>
        <v>0</v>
      </c>
      <c r="G294" s="205">
        <v>4</v>
      </c>
      <c r="H294" s="96"/>
      <c r="I294" s="308">
        <f t="shared" ref="I294" si="116">H294/G294</f>
        <v>0</v>
      </c>
      <c r="J294" s="205">
        <v>4</v>
      </c>
      <c r="K294" s="96"/>
      <c r="L294" s="308">
        <f t="shared" ref="L294" si="117">K294/J294</f>
        <v>0</v>
      </c>
      <c r="M294" s="205">
        <v>4</v>
      </c>
      <c r="N294" s="96"/>
      <c r="O294" s="308">
        <f t="shared" ref="O294" si="118">N294/M294</f>
        <v>0</v>
      </c>
      <c r="P294" s="309">
        <f t="shared" ref="P294" si="119">O294-F294</f>
        <v>0</v>
      </c>
      <c r="Q294" s="310">
        <f t="shared" ref="Q294" si="120">O294-I294</f>
        <v>0</v>
      </c>
      <c r="R294" s="311">
        <f t="shared" ref="R294" si="121">O294-L294</f>
        <v>0</v>
      </c>
      <c r="S294" s="97"/>
    </row>
    <row r="296" spans="1:19" ht="19.149999999999999" customHeight="1" x14ac:dyDescent="0.25">
      <c r="A296" s="316" t="s">
        <v>66</v>
      </c>
      <c r="B296" s="87" t="s">
        <v>20</v>
      </c>
      <c r="C296" s="114"/>
      <c r="D296" s="115"/>
      <c r="E296" s="262" t="s">
        <v>19</v>
      </c>
      <c r="F296" s="87" t="s">
        <v>20</v>
      </c>
      <c r="G296" s="263"/>
      <c r="H296" s="263"/>
    </row>
    <row r="297" spans="1:19" ht="21" customHeight="1" x14ac:dyDescent="0.25">
      <c r="A297" s="317"/>
      <c r="B297" s="87" t="s">
        <v>21</v>
      </c>
      <c r="C297" s="114"/>
      <c r="D297" s="115"/>
      <c r="E297" s="262"/>
      <c r="F297" s="87" t="s">
        <v>21</v>
      </c>
      <c r="G297" s="263"/>
      <c r="H297" s="263"/>
    </row>
    <row r="298" spans="1:19" ht="22.9" customHeight="1" x14ac:dyDescent="0.25">
      <c r="A298" s="318"/>
      <c r="B298" s="87" t="s">
        <v>22</v>
      </c>
      <c r="C298" s="114"/>
      <c r="D298" s="115"/>
      <c r="E298" s="262"/>
      <c r="F298" s="87" t="s">
        <v>22</v>
      </c>
      <c r="G298" s="263"/>
      <c r="H298" s="263"/>
    </row>
    <row r="303" spans="1:19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</row>
    <row r="304" spans="1:19" ht="22.5" x14ac:dyDescent="0.25">
      <c r="A304" s="103" t="s">
        <v>1</v>
      </c>
      <c r="B304" s="98" t="s">
        <v>39</v>
      </c>
      <c r="C304" s="104" t="s">
        <v>2</v>
      </c>
      <c r="D304" s="101" t="s">
        <v>39</v>
      </c>
      <c r="E304" s="100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1:19" x14ac:dyDescent="0.25">
      <c r="A305" s="103" t="s">
        <v>28</v>
      </c>
      <c r="B305" s="98" t="s">
        <v>67</v>
      </c>
      <c r="C305" s="104" t="s">
        <v>69</v>
      </c>
      <c r="D305" s="99">
        <v>10140</v>
      </c>
      <c r="E305" s="102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1:19" ht="15" customHeight="1" thickBot="1" x14ac:dyDescent="0.3">
      <c r="A306" s="33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ht="15" customHeight="1" thickBot="1" x14ac:dyDescent="0.3">
      <c r="A307" s="90"/>
      <c r="B307" s="91" t="s">
        <v>126</v>
      </c>
      <c r="C307" s="91"/>
      <c r="D307" s="91"/>
      <c r="E307" s="91"/>
      <c r="F307" s="91" t="s">
        <v>40</v>
      </c>
      <c r="G307" s="91"/>
      <c r="H307" s="91"/>
      <c r="I307" s="91" t="s">
        <v>41</v>
      </c>
      <c r="J307" s="91"/>
      <c r="K307" s="91"/>
      <c r="L307" s="91" t="s">
        <v>42</v>
      </c>
      <c r="M307" s="91"/>
      <c r="N307" s="91"/>
      <c r="O307" s="91" t="s">
        <v>43</v>
      </c>
      <c r="P307" s="270" t="s">
        <v>44</v>
      </c>
      <c r="Q307" s="271"/>
      <c r="R307" s="272"/>
      <c r="S307" s="273" t="s">
        <v>45</v>
      </c>
    </row>
    <row r="308" spans="1:19" ht="20.100000000000001" customHeight="1" x14ac:dyDescent="0.25">
      <c r="A308" s="322" t="s">
        <v>46</v>
      </c>
      <c r="B308" s="277" t="s">
        <v>47</v>
      </c>
      <c r="C308" s="279" t="s">
        <v>127</v>
      </c>
      <c r="D308" s="281" t="s">
        <v>128</v>
      </c>
      <c r="E308" s="283" t="s">
        <v>129</v>
      </c>
      <c r="F308" s="285" t="s">
        <v>130</v>
      </c>
      <c r="G308" s="281" t="s">
        <v>131</v>
      </c>
      <c r="H308" s="283" t="s">
        <v>132</v>
      </c>
      <c r="I308" s="285" t="s">
        <v>133</v>
      </c>
      <c r="J308" s="281" t="s">
        <v>134</v>
      </c>
      <c r="K308" s="283" t="s">
        <v>135</v>
      </c>
      <c r="L308" s="285" t="s">
        <v>136</v>
      </c>
      <c r="M308" s="281" t="s">
        <v>137</v>
      </c>
      <c r="N308" s="283" t="s">
        <v>138</v>
      </c>
      <c r="O308" s="285" t="s">
        <v>139</v>
      </c>
      <c r="P308" s="287" t="s">
        <v>140</v>
      </c>
      <c r="Q308" s="264" t="s">
        <v>141</v>
      </c>
      <c r="R308" s="267" t="s">
        <v>142</v>
      </c>
      <c r="S308" s="274"/>
    </row>
    <row r="309" spans="1:19" x14ac:dyDescent="0.25">
      <c r="A309" s="323"/>
      <c r="B309" s="278"/>
      <c r="C309" s="280"/>
      <c r="D309" s="282"/>
      <c r="E309" s="284"/>
      <c r="F309" s="286"/>
      <c r="G309" s="282"/>
      <c r="H309" s="284"/>
      <c r="I309" s="286"/>
      <c r="J309" s="282"/>
      <c r="K309" s="284"/>
      <c r="L309" s="286"/>
      <c r="M309" s="282"/>
      <c r="N309" s="284"/>
      <c r="O309" s="286"/>
      <c r="P309" s="288"/>
      <c r="Q309" s="265"/>
      <c r="R309" s="268"/>
      <c r="S309" s="275"/>
    </row>
    <row r="310" spans="1:19" x14ac:dyDescent="0.25">
      <c r="A310" s="324"/>
      <c r="B310" s="289" t="s">
        <v>208</v>
      </c>
      <c r="C310" s="290" t="s">
        <v>209</v>
      </c>
      <c r="D310" s="291">
        <v>0</v>
      </c>
      <c r="E310" s="292"/>
      <c r="F310" s="269"/>
      <c r="G310" s="291"/>
      <c r="H310" s="292"/>
      <c r="I310" s="269"/>
      <c r="J310" s="291">
        <v>-3</v>
      </c>
      <c r="K310" s="292"/>
      <c r="L310" s="269"/>
      <c r="M310" s="291"/>
      <c r="N310" s="292"/>
      <c r="O310" s="269"/>
      <c r="P310" s="293"/>
      <c r="Q310" s="266"/>
      <c r="R310" s="269"/>
      <c r="S310" s="97"/>
    </row>
    <row r="311" spans="1:19" ht="22.5" x14ac:dyDescent="0.25">
      <c r="A311" s="202" t="s">
        <v>433</v>
      </c>
      <c r="B311" s="203" t="s">
        <v>434</v>
      </c>
      <c r="C311" s="204" t="s">
        <v>338</v>
      </c>
      <c r="D311" s="205">
        <v>737</v>
      </c>
      <c r="E311" s="96"/>
      <c r="F311" s="308">
        <f t="shared" ref="F311" si="122">E311/D311</f>
        <v>0</v>
      </c>
      <c r="G311" s="205">
        <v>737</v>
      </c>
      <c r="H311" s="96"/>
      <c r="I311" s="308">
        <f t="shared" ref="I311" si="123">H311/G311</f>
        <v>0</v>
      </c>
      <c r="J311" s="205">
        <v>737</v>
      </c>
      <c r="K311" s="96"/>
      <c r="L311" s="308">
        <f t="shared" ref="L311" si="124">K311/J311</f>
        <v>0</v>
      </c>
      <c r="M311" s="95">
        <v>636</v>
      </c>
      <c r="N311" s="96"/>
      <c r="O311" s="308">
        <f t="shared" ref="O311" si="125">N311/M311</f>
        <v>0</v>
      </c>
      <c r="P311" s="309">
        <f t="shared" ref="P311" si="126">O311-F311</f>
        <v>0</v>
      </c>
      <c r="Q311" s="310">
        <f t="shared" ref="Q311" si="127">O311-I311</f>
        <v>0</v>
      </c>
      <c r="R311" s="311">
        <f t="shared" ref="R311" si="128">O311-L311</f>
        <v>0</v>
      </c>
      <c r="S311" s="97"/>
    </row>
    <row r="313" spans="1:19" ht="19.149999999999999" customHeight="1" x14ac:dyDescent="0.25">
      <c r="A313" s="316" t="s">
        <v>66</v>
      </c>
      <c r="B313" s="87" t="s">
        <v>20</v>
      </c>
      <c r="C313" s="114"/>
      <c r="D313" s="115"/>
      <c r="E313" s="262" t="s">
        <v>19</v>
      </c>
      <c r="F313" s="87" t="s">
        <v>20</v>
      </c>
      <c r="G313" s="263"/>
      <c r="H313" s="263"/>
    </row>
    <row r="314" spans="1:19" ht="21" customHeight="1" x14ac:dyDescent="0.25">
      <c r="A314" s="317"/>
      <c r="B314" s="87" t="s">
        <v>21</v>
      </c>
      <c r="C314" s="114"/>
      <c r="D314" s="115"/>
      <c r="E314" s="262"/>
      <c r="F314" s="87" t="s">
        <v>21</v>
      </c>
      <c r="G314" s="263"/>
      <c r="H314" s="263"/>
    </row>
    <row r="315" spans="1:19" ht="22.9" customHeight="1" x14ac:dyDescent="0.25">
      <c r="A315" s="318"/>
      <c r="B315" s="87" t="s">
        <v>22</v>
      </c>
      <c r="C315" s="114"/>
      <c r="D315" s="115"/>
      <c r="E315" s="262"/>
      <c r="F315" s="87" t="s">
        <v>22</v>
      </c>
      <c r="G315" s="263"/>
      <c r="H315" s="263"/>
    </row>
    <row r="320" spans="1:19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</row>
    <row r="321" spans="1:19" ht="22.5" x14ac:dyDescent="0.25">
      <c r="A321" s="103" t="s">
        <v>1</v>
      </c>
      <c r="B321" s="98" t="s">
        <v>39</v>
      </c>
      <c r="C321" s="104" t="s">
        <v>2</v>
      </c>
      <c r="D321" s="101" t="s">
        <v>39</v>
      </c>
      <c r="E321" s="100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</row>
    <row r="322" spans="1:19" x14ac:dyDescent="0.25">
      <c r="A322" s="103" t="s">
        <v>28</v>
      </c>
      <c r="B322" s="98" t="s">
        <v>110</v>
      </c>
      <c r="C322" s="104" t="s">
        <v>69</v>
      </c>
      <c r="D322" s="99">
        <v>10661</v>
      </c>
      <c r="E322" s="102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1:19" ht="15" customHeight="1" thickBot="1" x14ac:dyDescent="0.3">
      <c r="A323" s="33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1:19" ht="15" customHeight="1" thickBot="1" x14ac:dyDescent="0.3">
      <c r="A324" s="90"/>
      <c r="B324" s="91" t="s">
        <v>126</v>
      </c>
      <c r="C324" s="91"/>
      <c r="D324" s="91"/>
      <c r="E324" s="91"/>
      <c r="F324" s="91" t="s">
        <v>40</v>
      </c>
      <c r="G324" s="91"/>
      <c r="H324" s="91"/>
      <c r="I324" s="91" t="s">
        <v>41</v>
      </c>
      <c r="J324" s="91"/>
      <c r="K324" s="91"/>
      <c r="L324" s="91" t="s">
        <v>42</v>
      </c>
      <c r="M324" s="91"/>
      <c r="N324" s="91"/>
      <c r="O324" s="91" t="s">
        <v>43</v>
      </c>
      <c r="P324" s="270" t="s">
        <v>44</v>
      </c>
      <c r="Q324" s="271"/>
      <c r="R324" s="272"/>
      <c r="S324" s="273" t="s">
        <v>45</v>
      </c>
    </row>
    <row r="325" spans="1:19" ht="20.100000000000001" customHeight="1" x14ac:dyDescent="0.25">
      <c r="A325" s="322" t="s">
        <v>46</v>
      </c>
      <c r="B325" s="277" t="s">
        <v>47</v>
      </c>
      <c r="C325" s="279" t="s">
        <v>127</v>
      </c>
      <c r="D325" s="281" t="s">
        <v>128</v>
      </c>
      <c r="E325" s="283" t="s">
        <v>129</v>
      </c>
      <c r="F325" s="285" t="s">
        <v>130</v>
      </c>
      <c r="G325" s="281" t="s">
        <v>131</v>
      </c>
      <c r="H325" s="283" t="s">
        <v>132</v>
      </c>
      <c r="I325" s="285" t="s">
        <v>133</v>
      </c>
      <c r="J325" s="281" t="s">
        <v>134</v>
      </c>
      <c r="K325" s="283" t="s">
        <v>135</v>
      </c>
      <c r="L325" s="285" t="s">
        <v>136</v>
      </c>
      <c r="M325" s="281" t="s">
        <v>137</v>
      </c>
      <c r="N325" s="283" t="s">
        <v>138</v>
      </c>
      <c r="O325" s="285" t="s">
        <v>139</v>
      </c>
      <c r="P325" s="287" t="s">
        <v>140</v>
      </c>
      <c r="Q325" s="264" t="s">
        <v>141</v>
      </c>
      <c r="R325" s="267" t="s">
        <v>142</v>
      </c>
      <c r="S325" s="274"/>
    </row>
    <row r="326" spans="1:19" x14ac:dyDescent="0.25">
      <c r="A326" s="323"/>
      <c r="B326" s="278"/>
      <c r="C326" s="280"/>
      <c r="D326" s="282"/>
      <c r="E326" s="284"/>
      <c r="F326" s="286"/>
      <c r="G326" s="282"/>
      <c r="H326" s="284"/>
      <c r="I326" s="286"/>
      <c r="J326" s="282"/>
      <c r="K326" s="284"/>
      <c r="L326" s="286"/>
      <c r="M326" s="282"/>
      <c r="N326" s="284"/>
      <c r="O326" s="286"/>
      <c r="P326" s="288"/>
      <c r="Q326" s="265"/>
      <c r="R326" s="268"/>
      <c r="S326" s="275"/>
    </row>
    <row r="327" spans="1:19" x14ac:dyDescent="0.25">
      <c r="A327" s="324">
        <v>690</v>
      </c>
      <c r="B327" s="289" t="s">
        <v>211</v>
      </c>
      <c r="C327" s="290" t="s">
        <v>212</v>
      </c>
      <c r="D327" s="291"/>
      <c r="E327" s="292"/>
      <c r="F327" s="269"/>
      <c r="G327" s="291"/>
      <c r="H327" s="292"/>
      <c r="I327" s="269"/>
      <c r="J327" s="291"/>
      <c r="K327" s="292"/>
      <c r="L327" s="269"/>
      <c r="M327" s="291"/>
      <c r="N327" s="292"/>
      <c r="O327" s="269"/>
      <c r="P327" s="293"/>
      <c r="Q327" s="266"/>
      <c r="R327" s="269"/>
      <c r="S327" s="97"/>
    </row>
    <row r="328" spans="1:19" x14ac:dyDescent="0.25">
      <c r="A328" s="92">
        <v>773</v>
      </c>
      <c r="B328" s="93" t="s">
        <v>213</v>
      </c>
      <c r="C328" s="94"/>
      <c r="D328" s="95">
        <v>0</v>
      </c>
      <c r="E328" s="96"/>
      <c r="F328" s="308" t="e">
        <f t="shared" ref="F328" si="129">E328/D328</f>
        <v>#DIV/0!</v>
      </c>
      <c r="G328" s="95">
        <v>24</v>
      </c>
      <c r="H328" s="96"/>
      <c r="I328" s="308">
        <f t="shared" ref="I328" si="130">H328/G328</f>
        <v>0</v>
      </c>
      <c r="J328" s="205">
        <v>24</v>
      </c>
      <c r="K328" s="96"/>
      <c r="L328" s="308">
        <f t="shared" ref="L328" si="131">K328/J328</f>
        <v>0</v>
      </c>
      <c r="M328" s="95">
        <v>19</v>
      </c>
      <c r="N328" s="96"/>
      <c r="O328" s="308">
        <f t="shared" ref="O328" si="132">N328/M328</f>
        <v>0</v>
      </c>
      <c r="P328" s="309" t="e">
        <f t="shared" ref="P328" si="133">O328-F328</f>
        <v>#DIV/0!</v>
      </c>
      <c r="Q328" s="310">
        <f t="shared" ref="Q328" si="134">O328-I328</f>
        <v>0</v>
      </c>
      <c r="R328" s="311">
        <f t="shared" ref="R328" si="135">O328-L328</f>
        <v>0</v>
      </c>
      <c r="S328" s="97"/>
    </row>
    <row r="330" spans="1:19" ht="19.149999999999999" customHeight="1" x14ac:dyDescent="0.25">
      <c r="A330" s="316" t="s">
        <v>66</v>
      </c>
      <c r="B330" s="87" t="s">
        <v>20</v>
      </c>
      <c r="C330" s="114"/>
      <c r="D330" s="115"/>
      <c r="E330" s="262" t="s">
        <v>19</v>
      </c>
      <c r="F330" s="87" t="s">
        <v>20</v>
      </c>
      <c r="G330" s="263"/>
      <c r="H330" s="263"/>
    </row>
    <row r="331" spans="1:19" ht="21" customHeight="1" x14ac:dyDescent="0.25">
      <c r="A331" s="317"/>
      <c r="B331" s="87" t="s">
        <v>21</v>
      </c>
      <c r="C331" s="114"/>
      <c r="D331" s="115"/>
      <c r="E331" s="262"/>
      <c r="F331" s="87" t="s">
        <v>21</v>
      </c>
      <c r="G331" s="263"/>
      <c r="H331" s="263"/>
    </row>
    <row r="332" spans="1:19" ht="22.9" customHeight="1" x14ac:dyDescent="0.25">
      <c r="A332" s="318"/>
      <c r="B332" s="87" t="s">
        <v>22</v>
      </c>
      <c r="C332" s="114"/>
      <c r="D332" s="115"/>
      <c r="E332" s="262"/>
      <c r="F332" s="87" t="s">
        <v>22</v>
      </c>
      <c r="G332" s="263"/>
      <c r="H332" s="263"/>
    </row>
    <row r="337" spans="1:19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</row>
    <row r="338" spans="1:19" ht="22.5" x14ac:dyDescent="0.25">
      <c r="A338" s="103" t="s">
        <v>1</v>
      </c>
      <c r="B338" s="98" t="s">
        <v>39</v>
      </c>
      <c r="C338" s="104" t="s">
        <v>2</v>
      </c>
      <c r="D338" s="101" t="s">
        <v>39</v>
      </c>
      <c r="E338" s="100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</row>
    <row r="339" spans="1:19" x14ac:dyDescent="0.25">
      <c r="A339" s="103" t="s">
        <v>28</v>
      </c>
      <c r="B339" s="98" t="s">
        <v>112</v>
      </c>
      <c r="C339" s="104" t="s">
        <v>69</v>
      </c>
      <c r="D339" s="99">
        <v>6210</v>
      </c>
      <c r="E339" s="102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1:19" ht="15" customHeight="1" thickBot="1" x14ac:dyDescent="0.3">
      <c r="A340" s="33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1:19" ht="15" customHeight="1" thickBot="1" x14ac:dyDescent="0.3">
      <c r="A341" s="90"/>
      <c r="B341" s="91" t="s">
        <v>126</v>
      </c>
      <c r="C341" s="91"/>
      <c r="D341" s="91"/>
      <c r="E341" s="91"/>
      <c r="F341" s="91" t="s">
        <v>40</v>
      </c>
      <c r="G341" s="91"/>
      <c r="H341" s="91"/>
      <c r="I341" s="91" t="s">
        <v>41</v>
      </c>
      <c r="J341" s="91"/>
      <c r="K341" s="91"/>
      <c r="L341" s="91" t="s">
        <v>42</v>
      </c>
      <c r="M341" s="91"/>
      <c r="N341" s="91"/>
      <c r="O341" s="91" t="s">
        <v>43</v>
      </c>
      <c r="P341" s="270" t="s">
        <v>44</v>
      </c>
      <c r="Q341" s="271"/>
      <c r="R341" s="272"/>
      <c r="S341" s="273" t="s">
        <v>45</v>
      </c>
    </row>
    <row r="342" spans="1:19" ht="20.100000000000001" customHeight="1" x14ac:dyDescent="0.25">
      <c r="A342" s="322" t="s">
        <v>46</v>
      </c>
      <c r="B342" s="277" t="s">
        <v>47</v>
      </c>
      <c r="C342" s="279" t="s">
        <v>127</v>
      </c>
      <c r="D342" s="281" t="s">
        <v>128</v>
      </c>
      <c r="E342" s="283" t="s">
        <v>129</v>
      </c>
      <c r="F342" s="285" t="s">
        <v>130</v>
      </c>
      <c r="G342" s="281" t="s">
        <v>131</v>
      </c>
      <c r="H342" s="283" t="s">
        <v>132</v>
      </c>
      <c r="I342" s="285" t="s">
        <v>133</v>
      </c>
      <c r="J342" s="281" t="s">
        <v>134</v>
      </c>
      <c r="K342" s="283" t="s">
        <v>135</v>
      </c>
      <c r="L342" s="285" t="s">
        <v>136</v>
      </c>
      <c r="M342" s="281" t="s">
        <v>137</v>
      </c>
      <c r="N342" s="283" t="s">
        <v>138</v>
      </c>
      <c r="O342" s="285" t="s">
        <v>139</v>
      </c>
      <c r="P342" s="287" t="s">
        <v>140</v>
      </c>
      <c r="Q342" s="264" t="s">
        <v>141</v>
      </c>
      <c r="R342" s="267" t="s">
        <v>142</v>
      </c>
      <c r="S342" s="274"/>
    </row>
    <row r="343" spans="1:19" x14ac:dyDescent="0.25">
      <c r="A343" s="323"/>
      <c r="B343" s="278"/>
      <c r="C343" s="280"/>
      <c r="D343" s="282"/>
      <c r="E343" s="284"/>
      <c r="F343" s="286"/>
      <c r="G343" s="282"/>
      <c r="H343" s="284"/>
      <c r="I343" s="286"/>
      <c r="J343" s="282"/>
      <c r="K343" s="284"/>
      <c r="L343" s="286"/>
      <c r="M343" s="282"/>
      <c r="N343" s="284"/>
      <c r="O343" s="286"/>
      <c r="P343" s="288"/>
      <c r="Q343" s="265"/>
      <c r="R343" s="268"/>
      <c r="S343" s="275"/>
    </row>
    <row r="344" spans="1:19" x14ac:dyDescent="0.25">
      <c r="A344" s="324">
        <v>673</v>
      </c>
      <c r="B344" s="289" t="s">
        <v>214</v>
      </c>
      <c r="C344" s="290" t="s">
        <v>215</v>
      </c>
      <c r="D344" s="291"/>
      <c r="E344" s="292"/>
      <c r="F344" s="269"/>
      <c r="G344" s="291"/>
      <c r="H344" s="292"/>
      <c r="I344" s="269"/>
      <c r="J344" s="291"/>
      <c r="K344" s="292"/>
      <c r="L344" s="269"/>
      <c r="M344" s="291"/>
      <c r="N344" s="292"/>
      <c r="O344" s="269"/>
      <c r="P344" s="293"/>
      <c r="Q344" s="266"/>
      <c r="R344" s="269"/>
      <c r="S344" s="97"/>
    </row>
    <row r="345" spans="1:19" x14ac:dyDescent="0.25">
      <c r="A345" s="202" t="s">
        <v>435</v>
      </c>
      <c r="B345" s="203" t="s">
        <v>436</v>
      </c>
      <c r="C345" s="204" t="s">
        <v>338</v>
      </c>
      <c r="D345" s="205">
        <v>1</v>
      </c>
      <c r="E345" s="96"/>
      <c r="F345" s="308">
        <f t="shared" ref="F345:F346" si="136">E345/D345</f>
        <v>0</v>
      </c>
      <c r="G345" s="205">
        <v>1</v>
      </c>
      <c r="H345" s="96"/>
      <c r="I345" s="308">
        <f t="shared" ref="I345:I346" si="137">H345/G345</f>
        <v>0</v>
      </c>
      <c r="J345" s="205">
        <v>1</v>
      </c>
      <c r="K345" s="96"/>
      <c r="L345" s="308">
        <f t="shared" ref="L345:L346" si="138">K345/J345</f>
        <v>0</v>
      </c>
      <c r="M345" s="205">
        <v>0</v>
      </c>
      <c r="N345" s="96"/>
      <c r="O345" s="308" t="e">
        <f t="shared" ref="O345:O346" si="139">N345/M345</f>
        <v>#DIV/0!</v>
      </c>
      <c r="P345" s="309" t="e">
        <f t="shared" ref="P345:P346" si="140">O345-F345</f>
        <v>#DIV/0!</v>
      </c>
      <c r="Q345" s="310" t="e">
        <f t="shared" ref="Q345:Q346" si="141">O345-I345</f>
        <v>#DIV/0!</v>
      </c>
      <c r="R345" s="311" t="e">
        <f t="shared" ref="R345:R346" si="142">O345-L345</f>
        <v>#DIV/0!</v>
      </c>
      <c r="S345" s="97"/>
    </row>
    <row r="346" spans="1:19" x14ac:dyDescent="0.25">
      <c r="A346" s="202" t="s">
        <v>437</v>
      </c>
      <c r="B346" s="203" t="s">
        <v>438</v>
      </c>
      <c r="C346" s="94" t="s">
        <v>338</v>
      </c>
      <c r="D346" s="205">
        <v>1</v>
      </c>
      <c r="E346" s="96"/>
      <c r="F346" s="308">
        <f t="shared" si="136"/>
        <v>0</v>
      </c>
      <c r="G346" s="205">
        <v>1</v>
      </c>
      <c r="H346" s="96"/>
      <c r="I346" s="308">
        <f t="shared" si="137"/>
        <v>0</v>
      </c>
      <c r="J346" s="205">
        <v>1</v>
      </c>
      <c r="K346" s="96"/>
      <c r="L346" s="308">
        <f t="shared" si="138"/>
        <v>0</v>
      </c>
      <c r="M346" s="205">
        <v>1</v>
      </c>
      <c r="N346" s="96"/>
      <c r="O346" s="308">
        <f t="shared" si="139"/>
        <v>0</v>
      </c>
      <c r="P346" s="309">
        <f t="shared" si="140"/>
        <v>0</v>
      </c>
      <c r="Q346" s="310">
        <f t="shared" si="141"/>
        <v>0</v>
      </c>
      <c r="R346" s="311">
        <f t="shared" si="142"/>
        <v>0</v>
      </c>
      <c r="S346" s="97"/>
    </row>
    <row r="348" spans="1:19" ht="19.149999999999999" customHeight="1" x14ac:dyDescent="0.25">
      <c r="A348" s="316" t="s">
        <v>66</v>
      </c>
      <c r="B348" s="87" t="s">
        <v>20</v>
      </c>
      <c r="C348" s="114"/>
      <c r="D348" s="115"/>
      <c r="E348" s="262" t="s">
        <v>19</v>
      </c>
      <c r="F348" s="87" t="s">
        <v>20</v>
      </c>
      <c r="G348" s="263"/>
      <c r="H348" s="263"/>
    </row>
    <row r="349" spans="1:19" ht="21" customHeight="1" x14ac:dyDescent="0.25">
      <c r="A349" s="317"/>
      <c r="B349" s="87" t="s">
        <v>21</v>
      </c>
      <c r="C349" s="114"/>
      <c r="D349" s="115"/>
      <c r="E349" s="262"/>
      <c r="F349" s="87" t="s">
        <v>21</v>
      </c>
      <c r="G349" s="263"/>
      <c r="H349" s="263"/>
    </row>
    <row r="350" spans="1:19" ht="22.9" customHeight="1" x14ac:dyDescent="0.25">
      <c r="A350" s="318"/>
      <c r="B350" s="87" t="s">
        <v>22</v>
      </c>
      <c r="C350" s="114"/>
      <c r="D350" s="115"/>
      <c r="E350" s="262"/>
      <c r="F350" s="87" t="s">
        <v>22</v>
      </c>
      <c r="G350" s="263"/>
      <c r="H350" s="263"/>
    </row>
    <row r="355" spans="1:19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</row>
    <row r="356" spans="1:19" ht="22.5" x14ac:dyDescent="0.25">
      <c r="A356" s="103" t="s">
        <v>1</v>
      </c>
      <c r="B356" s="98" t="s">
        <v>39</v>
      </c>
      <c r="C356" s="104" t="s">
        <v>2</v>
      </c>
      <c r="D356" s="101" t="s">
        <v>39</v>
      </c>
      <c r="E356" s="100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x14ac:dyDescent="0.25">
      <c r="A357" s="103" t="s">
        <v>28</v>
      </c>
      <c r="B357" s="98" t="s">
        <v>113</v>
      </c>
      <c r="C357" s="104" t="s">
        <v>69</v>
      </c>
      <c r="D357" s="99">
        <v>10430</v>
      </c>
      <c r="E357" s="102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ht="15" customHeight="1" thickBot="1" x14ac:dyDescent="0.3">
      <c r="A358" s="33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ht="15" customHeight="1" thickBot="1" x14ac:dyDescent="0.3">
      <c r="A359" s="90"/>
      <c r="B359" s="91" t="s">
        <v>126</v>
      </c>
      <c r="C359" s="91"/>
      <c r="D359" s="91"/>
      <c r="E359" s="91"/>
      <c r="F359" s="91" t="s">
        <v>40</v>
      </c>
      <c r="G359" s="91"/>
      <c r="H359" s="91"/>
      <c r="I359" s="91" t="s">
        <v>41</v>
      </c>
      <c r="J359" s="91"/>
      <c r="K359" s="91"/>
      <c r="L359" s="91" t="s">
        <v>42</v>
      </c>
      <c r="M359" s="91"/>
      <c r="N359" s="91"/>
      <c r="O359" s="91" t="s">
        <v>43</v>
      </c>
      <c r="P359" s="270" t="s">
        <v>44</v>
      </c>
      <c r="Q359" s="271"/>
      <c r="R359" s="272"/>
      <c r="S359" s="273" t="s">
        <v>45</v>
      </c>
    </row>
    <row r="360" spans="1:19" ht="20.100000000000001" customHeight="1" x14ac:dyDescent="0.25">
      <c r="A360" s="322" t="s">
        <v>46</v>
      </c>
      <c r="B360" s="277" t="s">
        <v>47</v>
      </c>
      <c r="C360" s="279" t="s">
        <v>127</v>
      </c>
      <c r="D360" s="281" t="s">
        <v>128</v>
      </c>
      <c r="E360" s="283" t="s">
        <v>129</v>
      </c>
      <c r="F360" s="285" t="s">
        <v>130</v>
      </c>
      <c r="G360" s="281" t="s">
        <v>131</v>
      </c>
      <c r="H360" s="283" t="s">
        <v>132</v>
      </c>
      <c r="I360" s="285" t="s">
        <v>133</v>
      </c>
      <c r="J360" s="281" t="s">
        <v>134</v>
      </c>
      <c r="K360" s="283" t="s">
        <v>135</v>
      </c>
      <c r="L360" s="285" t="s">
        <v>136</v>
      </c>
      <c r="M360" s="281" t="s">
        <v>137</v>
      </c>
      <c r="N360" s="283" t="s">
        <v>138</v>
      </c>
      <c r="O360" s="285" t="s">
        <v>139</v>
      </c>
      <c r="P360" s="287" t="s">
        <v>140</v>
      </c>
      <c r="Q360" s="264" t="s">
        <v>141</v>
      </c>
      <c r="R360" s="267" t="s">
        <v>142</v>
      </c>
      <c r="S360" s="274"/>
    </row>
    <row r="361" spans="1:19" x14ac:dyDescent="0.25">
      <c r="A361" s="323"/>
      <c r="B361" s="278"/>
      <c r="C361" s="280"/>
      <c r="D361" s="282"/>
      <c r="E361" s="284"/>
      <c r="F361" s="286"/>
      <c r="G361" s="282"/>
      <c r="H361" s="284"/>
      <c r="I361" s="286"/>
      <c r="J361" s="282"/>
      <c r="K361" s="284"/>
      <c r="L361" s="286"/>
      <c r="M361" s="282"/>
      <c r="N361" s="284"/>
      <c r="O361" s="286"/>
      <c r="P361" s="288"/>
      <c r="Q361" s="265"/>
      <c r="R361" s="268"/>
      <c r="S361" s="275"/>
    </row>
    <row r="362" spans="1:19" x14ac:dyDescent="0.25">
      <c r="A362" s="324">
        <v>374</v>
      </c>
      <c r="B362" s="289" t="s">
        <v>216</v>
      </c>
      <c r="C362" s="290" t="s">
        <v>217</v>
      </c>
      <c r="D362" s="291">
        <v>-8</v>
      </c>
      <c r="E362" s="292"/>
      <c r="F362" s="269"/>
      <c r="G362" s="291"/>
      <c r="H362" s="292"/>
      <c r="I362" s="269"/>
      <c r="J362" s="291">
        <v>-2</v>
      </c>
      <c r="K362" s="292"/>
      <c r="L362" s="269"/>
      <c r="M362" s="291"/>
      <c r="N362" s="292"/>
      <c r="O362" s="269"/>
      <c r="P362" s="293"/>
      <c r="Q362" s="266"/>
      <c r="R362" s="269"/>
      <c r="S362" s="97"/>
    </row>
    <row r="363" spans="1:19" x14ac:dyDescent="0.25">
      <c r="A363" s="202" t="s">
        <v>439</v>
      </c>
      <c r="B363" s="203" t="s">
        <v>440</v>
      </c>
      <c r="C363" s="204" t="s">
        <v>338</v>
      </c>
      <c r="D363" s="205">
        <v>430</v>
      </c>
      <c r="E363" s="96"/>
      <c r="F363" s="308">
        <f t="shared" ref="F363:F364" si="143">E363/D363</f>
        <v>0</v>
      </c>
      <c r="G363" s="205">
        <v>425</v>
      </c>
      <c r="H363" s="96"/>
      <c r="I363" s="308">
        <f t="shared" ref="I363:I364" si="144">H363/G363</f>
        <v>0</v>
      </c>
      <c r="J363" s="205">
        <v>425</v>
      </c>
      <c r="K363" s="96"/>
      <c r="L363" s="308">
        <f t="shared" ref="L363:L364" si="145">K363/J363</f>
        <v>0</v>
      </c>
      <c r="M363" s="205">
        <v>369</v>
      </c>
      <c r="N363" s="96"/>
      <c r="O363" s="308">
        <f t="shared" ref="O363:O364" si="146">N363/M363</f>
        <v>0</v>
      </c>
      <c r="P363" s="309">
        <f t="shared" ref="P363:P364" si="147">O363-F363</f>
        <v>0</v>
      </c>
      <c r="Q363" s="310">
        <f t="shared" ref="Q363:Q364" si="148">O363-I363</f>
        <v>0</v>
      </c>
      <c r="R363" s="311">
        <f t="shared" ref="R363:R364" si="149">O363-L363</f>
        <v>0</v>
      </c>
      <c r="S363" s="97"/>
    </row>
    <row r="364" spans="1:19" x14ac:dyDescent="0.25">
      <c r="A364" s="202" t="s">
        <v>441</v>
      </c>
      <c r="B364" s="203" t="s">
        <v>442</v>
      </c>
      <c r="C364" s="204" t="s">
        <v>338</v>
      </c>
      <c r="D364" s="205"/>
      <c r="E364" s="96"/>
      <c r="F364" s="308" t="e">
        <f t="shared" si="143"/>
        <v>#DIV/0!</v>
      </c>
      <c r="G364" s="205">
        <v>30</v>
      </c>
      <c r="H364" s="96"/>
      <c r="I364" s="308">
        <f t="shared" si="144"/>
        <v>0</v>
      </c>
      <c r="J364" s="205">
        <v>30</v>
      </c>
      <c r="K364" s="96"/>
      <c r="L364" s="308">
        <f t="shared" si="145"/>
        <v>0</v>
      </c>
      <c r="M364" s="205">
        <v>30</v>
      </c>
      <c r="N364" s="96"/>
      <c r="O364" s="308">
        <f t="shared" si="146"/>
        <v>0</v>
      </c>
      <c r="P364" s="309" t="e">
        <f t="shared" si="147"/>
        <v>#DIV/0!</v>
      </c>
      <c r="Q364" s="310">
        <f t="shared" si="148"/>
        <v>0</v>
      </c>
      <c r="R364" s="311">
        <f t="shared" si="149"/>
        <v>0</v>
      </c>
      <c r="S364" s="97"/>
    </row>
    <row r="366" spans="1:19" ht="19.149999999999999" customHeight="1" x14ac:dyDescent="0.25">
      <c r="A366" s="316" t="s">
        <v>66</v>
      </c>
      <c r="B366" s="87" t="s">
        <v>20</v>
      </c>
      <c r="C366" s="114"/>
      <c r="D366" s="115"/>
      <c r="E366" s="262" t="s">
        <v>19</v>
      </c>
      <c r="F366" s="87" t="s">
        <v>20</v>
      </c>
      <c r="G366" s="263"/>
      <c r="H366" s="263"/>
    </row>
    <row r="367" spans="1:19" ht="21" customHeight="1" x14ac:dyDescent="0.25">
      <c r="A367" s="317"/>
      <c r="B367" s="87" t="s">
        <v>21</v>
      </c>
      <c r="C367" s="114"/>
      <c r="D367" s="115"/>
      <c r="E367" s="262"/>
      <c r="F367" s="87" t="s">
        <v>21</v>
      </c>
      <c r="G367" s="263"/>
      <c r="H367" s="263"/>
    </row>
    <row r="368" spans="1:19" ht="22.9" customHeight="1" x14ac:dyDescent="0.25">
      <c r="A368" s="318"/>
      <c r="B368" s="87" t="s">
        <v>22</v>
      </c>
      <c r="C368" s="114"/>
      <c r="D368" s="115"/>
      <c r="E368" s="262"/>
      <c r="F368" s="87" t="s">
        <v>22</v>
      </c>
      <c r="G368" s="263"/>
      <c r="H368" s="263"/>
    </row>
    <row r="373" spans="1:19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</row>
    <row r="374" spans="1:19" ht="22.5" x14ac:dyDescent="0.25">
      <c r="A374" s="103" t="s">
        <v>1</v>
      </c>
      <c r="B374" s="98" t="s">
        <v>39</v>
      </c>
      <c r="C374" s="104" t="s">
        <v>2</v>
      </c>
      <c r="D374" s="101" t="s">
        <v>39</v>
      </c>
      <c r="E374" s="100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</row>
    <row r="375" spans="1:19" x14ac:dyDescent="0.25">
      <c r="A375" s="103" t="s">
        <v>28</v>
      </c>
      <c r="B375" s="98" t="s">
        <v>114</v>
      </c>
      <c r="C375" s="104" t="s">
        <v>69</v>
      </c>
      <c r="D375" s="99">
        <v>3600</v>
      </c>
      <c r="E375" s="102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</row>
    <row r="376" spans="1:19" ht="15" customHeight="1" thickBot="1" x14ac:dyDescent="0.3">
      <c r="A376" s="33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</row>
    <row r="377" spans="1:19" ht="15" customHeight="1" thickBot="1" x14ac:dyDescent="0.3">
      <c r="A377" s="90"/>
      <c r="B377" s="91" t="s">
        <v>126</v>
      </c>
      <c r="C377" s="91"/>
      <c r="D377" s="91"/>
      <c r="E377" s="91"/>
      <c r="F377" s="91" t="s">
        <v>40</v>
      </c>
      <c r="G377" s="91"/>
      <c r="H377" s="91"/>
      <c r="I377" s="91" t="s">
        <v>41</v>
      </c>
      <c r="J377" s="91"/>
      <c r="K377" s="91"/>
      <c r="L377" s="91" t="s">
        <v>42</v>
      </c>
      <c r="M377" s="91"/>
      <c r="N377" s="91"/>
      <c r="O377" s="91" t="s">
        <v>43</v>
      </c>
      <c r="P377" s="270" t="s">
        <v>44</v>
      </c>
      <c r="Q377" s="271"/>
      <c r="R377" s="272"/>
      <c r="S377" s="273" t="s">
        <v>45</v>
      </c>
    </row>
    <row r="378" spans="1:19" ht="20.100000000000001" customHeight="1" x14ac:dyDescent="0.25">
      <c r="A378" s="319" t="s">
        <v>46</v>
      </c>
      <c r="B378" s="277" t="s">
        <v>47</v>
      </c>
      <c r="C378" s="279" t="s">
        <v>127</v>
      </c>
      <c r="D378" s="281" t="s">
        <v>128</v>
      </c>
      <c r="E378" s="283" t="s">
        <v>129</v>
      </c>
      <c r="F378" s="285" t="s">
        <v>130</v>
      </c>
      <c r="G378" s="281" t="s">
        <v>131</v>
      </c>
      <c r="H378" s="283" t="s">
        <v>132</v>
      </c>
      <c r="I378" s="285" t="s">
        <v>133</v>
      </c>
      <c r="J378" s="281" t="s">
        <v>134</v>
      </c>
      <c r="K378" s="283" t="s">
        <v>135</v>
      </c>
      <c r="L378" s="285" t="s">
        <v>136</v>
      </c>
      <c r="M378" s="281" t="s">
        <v>137</v>
      </c>
      <c r="N378" s="283" t="s">
        <v>138</v>
      </c>
      <c r="O378" s="285" t="s">
        <v>139</v>
      </c>
      <c r="P378" s="287" t="s">
        <v>140</v>
      </c>
      <c r="Q378" s="264" t="s">
        <v>141</v>
      </c>
      <c r="R378" s="267" t="s">
        <v>142</v>
      </c>
      <c r="S378" s="274"/>
    </row>
    <row r="379" spans="1:19" x14ac:dyDescent="0.25">
      <c r="A379" s="320"/>
      <c r="B379" s="278"/>
      <c r="C379" s="280"/>
      <c r="D379" s="282"/>
      <c r="E379" s="284"/>
      <c r="F379" s="286"/>
      <c r="G379" s="282"/>
      <c r="H379" s="284"/>
      <c r="I379" s="286"/>
      <c r="J379" s="282"/>
      <c r="K379" s="284"/>
      <c r="L379" s="286"/>
      <c r="M379" s="282"/>
      <c r="N379" s="284"/>
      <c r="O379" s="286"/>
      <c r="P379" s="288"/>
      <c r="Q379" s="265"/>
      <c r="R379" s="268"/>
      <c r="S379" s="275"/>
    </row>
    <row r="380" spans="1:19" x14ac:dyDescent="0.25">
      <c r="A380" s="321"/>
      <c r="B380" s="276"/>
      <c r="C380" s="276"/>
      <c r="D380" s="291"/>
      <c r="E380" s="276"/>
      <c r="F380" s="269"/>
      <c r="G380" s="276"/>
      <c r="H380" s="276"/>
      <c r="I380" s="269"/>
      <c r="J380" s="276"/>
      <c r="K380" s="276"/>
      <c r="L380" s="269"/>
      <c r="M380" s="276"/>
      <c r="N380" s="276"/>
      <c r="O380" s="269"/>
      <c r="P380" s="276"/>
      <c r="Q380" s="276"/>
      <c r="R380" s="276"/>
    </row>
    <row r="381" spans="1:19" s="208" customFormat="1" x14ac:dyDescent="0.25">
      <c r="A381" s="202" t="s">
        <v>443</v>
      </c>
      <c r="B381" s="203" t="s">
        <v>444</v>
      </c>
      <c r="C381" s="204" t="s">
        <v>338</v>
      </c>
      <c r="D381" s="205">
        <v>6</v>
      </c>
      <c r="E381" s="206"/>
      <c r="F381" s="308">
        <f t="shared" ref="F381:F382" si="150">E381/D381</f>
        <v>0</v>
      </c>
      <c r="G381" s="205">
        <v>8</v>
      </c>
      <c r="H381" s="206"/>
      <c r="I381" s="308">
        <f t="shared" ref="I381:I382" si="151">H381/G381</f>
        <v>0</v>
      </c>
      <c r="J381" s="205">
        <v>8</v>
      </c>
      <c r="K381" s="206"/>
      <c r="L381" s="308">
        <f t="shared" ref="L381:L382" si="152">K381/J381</f>
        <v>0</v>
      </c>
      <c r="M381" s="205">
        <v>8</v>
      </c>
      <c r="N381" s="206"/>
      <c r="O381" s="308">
        <f t="shared" ref="O381:O382" si="153">N381/M381</f>
        <v>0</v>
      </c>
      <c r="P381" s="309">
        <f t="shared" ref="P381:P382" si="154">O381-F381</f>
        <v>0</v>
      </c>
      <c r="Q381" s="310">
        <f t="shared" ref="Q381:Q382" si="155">O381-I381</f>
        <v>0</v>
      </c>
      <c r="R381" s="311">
        <f t="shared" ref="R381:R382" si="156">O381-L381</f>
        <v>0</v>
      </c>
      <c r="S381" s="97"/>
    </row>
    <row r="382" spans="1:19" s="208" customFormat="1" x14ac:dyDescent="0.25"/>
    <row r="383" spans="1:19" ht="19.149999999999999" customHeight="1" x14ac:dyDescent="0.25">
      <c r="A383" s="316" t="s">
        <v>66</v>
      </c>
      <c r="B383" s="87" t="s">
        <v>20</v>
      </c>
      <c r="C383" s="114"/>
      <c r="D383" s="115"/>
      <c r="E383" s="262" t="s">
        <v>19</v>
      </c>
      <c r="F383" s="87" t="s">
        <v>20</v>
      </c>
      <c r="G383" s="263"/>
      <c r="H383" s="263"/>
    </row>
    <row r="384" spans="1:19" ht="21" customHeight="1" x14ac:dyDescent="0.25">
      <c r="A384" s="317"/>
      <c r="B384" s="87" t="s">
        <v>21</v>
      </c>
      <c r="C384" s="114"/>
      <c r="D384" s="115"/>
      <c r="E384" s="262"/>
      <c r="F384" s="87" t="s">
        <v>21</v>
      </c>
      <c r="G384" s="263"/>
      <c r="H384" s="263"/>
    </row>
    <row r="385" spans="1:8" ht="22.9" customHeight="1" x14ac:dyDescent="0.25">
      <c r="A385" s="318"/>
      <c r="B385" s="87" t="s">
        <v>22</v>
      </c>
      <c r="C385" s="114"/>
      <c r="D385" s="115"/>
      <c r="E385" s="262"/>
      <c r="F385" s="87" t="s">
        <v>22</v>
      </c>
      <c r="G385" s="263"/>
      <c r="H385" s="263"/>
    </row>
  </sheetData>
  <mergeCells count="525">
    <mergeCell ref="A68:A70"/>
    <mergeCell ref="A56:A58"/>
    <mergeCell ref="A36:A38"/>
    <mergeCell ref="A8:A10"/>
    <mergeCell ref="A182:A184"/>
    <mergeCell ref="A203:A205"/>
    <mergeCell ref="A222:A224"/>
    <mergeCell ref="A240:A242"/>
    <mergeCell ref="A257:A259"/>
    <mergeCell ref="A210:A212"/>
    <mergeCell ref="A191:A193"/>
    <mergeCell ref="A170:A172"/>
    <mergeCell ref="A145:A147"/>
    <mergeCell ref="A133:A135"/>
    <mergeCell ref="A125:A127"/>
    <mergeCell ref="A113:A115"/>
    <mergeCell ref="A105:A107"/>
    <mergeCell ref="A93:A95"/>
    <mergeCell ref="A348:A350"/>
    <mergeCell ref="A330:A332"/>
    <mergeCell ref="A325:A327"/>
    <mergeCell ref="A313:A315"/>
    <mergeCell ref="A296:A298"/>
    <mergeCell ref="A279:A281"/>
    <mergeCell ref="A262:A264"/>
    <mergeCell ref="A245:A247"/>
    <mergeCell ref="A274:A276"/>
    <mergeCell ref="A291:A293"/>
    <mergeCell ref="P7:R7"/>
    <mergeCell ref="S7:S9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A18:A20"/>
    <mergeCell ref="E18:E20"/>
    <mergeCell ref="G18:H18"/>
    <mergeCell ref="G19:H19"/>
    <mergeCell ref="G20:H20"/>
    <mergeCell ref="P29:R29"/>
    <mergeCell ref="S29:S31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E36:E38"/>
    <mergeCell ref="G36:H36"/>
    <mergeCell ref="G37:H37"/>
    <mergeCell ref="G38:H38"/>
    <mergeCell ref="P47:R47"/>
    <mergeCell ref="S47:S49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P48:P50"/>
    <mergeCell ref="Q48:Q50"/>
    <mergeCell ref="R48:R50"/>
    <mergeCell ref="E56:E58"/>
    <mergeCell ref="G56:H56"/>
    <mergeCell ref="G57:H57"/>
    <mergeCell ref="G58:H58"/>
    <mergeCell ref="P67:R67"/>
    <mergeCell ref="S67:S69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M68:M70"/>
    <mergeCell ref="N68:N70"/>
    <mergeCell ref="O68:O70"/>
    <mergeCell ref="P68:P70"/>
    <mergeCell ref="Q68:Q70"/>
    <mergeCell ref="R68:R70"/>
    <mergeCell ref="A76:A78"/>
    <mergeCell ref="E76:E78"/>
    <mergeCell ref="G76:H76"/>
    <mergeCell ref="G77:H77"/>
    <mergeCell ref="G78:H78"/>
    <mergeCell ref="P87:R87"/>
    <mergeCell ref="S87:S89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N88:N90"/>
    <mergeCell ref="O88:O90"/>
    <mergeCell ref="P88:P90"/>
    <mergeCell ref="Q88:Q90"/>
    <mergeCell ref="R88:R90"/>
    <mergeCell ref="E93:E95"/>
    <mergeCell ref="G93:H93"/>
    <mergeCell ref="G94:H94"/>
    <mergeCell ref="G95:H95"/>
    <mergeCell ref="P104:R104"/>
    <mergeCell ref="S104:S106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M105:M107"/>
    <mergeCell ref="N105:N107"/>
    <mergeCell ref="O105:O107"/>
    <mergeCell ref="P105:P107"/>
    <mergeCell ref="Q105:Q107"/>
    <mergeCell ref="R105:R107"/>
    <mergeCell ref="E113:E115"/>
    <mergeCell ref="G113:H113"/>
    <mergeCell ref="G114:H114"/>
    <mergeCell ref="G115:H115"/>
    <mergeCell ref="P124:R124"/>
    <mergeCell ref="S124:S126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L125:L127"/>
    <mergeCell ref="M125:M127"/>
    <mergeCell ref="N125:N127"/>
    <mergeCell ref="O125:O127"/>
    <mergeCell ref="P125:P127"/>
    <mergeCell ref="Q125:Q127"/>
    <mergeCell ref="R125:R127"/>
    <mergeCell ref="E133:E135"/>
    <mergeCell ref="G133:H133"/>
    <mergeCell ref="G134:H134"/>
    <mergeCell ref="G135:H135"/>
    <mergeCell ref="P144:R144"/>
    <mergeCell ref="S144:S146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O145:O147"/>
    <mergeCell ref="P145:P147"/>
    <mergeCell ref="Q145:Q147"/>
    <mergeCell ref="R145:R147"/>
    <mergeCell ref="A151:A153"/>
    <mergeCell ref="E151:E153"/>
    <mergeCell ref="G151:H151"/>
    <mergeCell ref="G152:H152"/>
    <mergeCell ref="G153:H153"/>
    <mergeCell ref="P162:R162"/>
    <mergeCell ref="S162:S164"/>
    <mergeCell ref="A163:A165"/>
    <mergeCell ref="B163:B165"/>
    <mergeCell ref="C163:C165"/>
    <mergeCell ref="D163:D165"/>
    <mergeCell ref="E163:E165"/>
    <mergeCell ref="F163:F165"/>
    <mergeCell ref="G163:G165"/>
    <mergeCell ref="H163:H165"/>
    <mergeCell ref="I163:I165"/>
    <mergeCell ref="J163:J165"/>
    <mergeCell ref="K163:K165"/>
    <mergeCell ref="L163:L165"/>
    <mergeCell ref="M163:M165"/>
    <mergeCell ref="N163:N165"/>
    <mergeCell ref="O163:O165"/>
    <mergeCell ref="P163:P165"/>
    <mergeCell ref="Q163:Q165"/>
    <mergeCell ref="R163:R165"/>
    <mergeCell ref="E170:E172"/>
    <mergeCell ref="G170:H170"/>
    <mergeCell ref="G171:H171"/>
    <mergeCell ref="G172:H172"/>
    <mergeCell ref="P181:R181"/>
    <mergeCell ref="S181:S183"/>
    <mergeCell ref="B182:B184"/>
    <mergeCell ref="C182:C184"/>
    <mergeCell ref="D182:D184"/>
    <mergeCell ref="E182:E184"/>
    <mergeCell ref="F182:F184"/>
    <mergeCell ref="G182:G184"/>
    <mergeCell ref="H182:H184"/>
    <mergeCell ref="I182:I184"/>
    <mergeCell ref="J182:J184"/>
    <mergeCell ref="K182:K184"/>
    <mergeCell ref="L182:L184"/>
    <mergeCell ref="M182:M184"/>
    <mergeCell ref="N182:N184"/>
    <mergeCell ref="O182:O184"/>
    <mergeCell ref="P182:P184"/>
    <mergeCell ref="Q182:Q184"/>
    <mergeCell ref="R182:R184"/>
    <mergeCell ref="E191:E193"/>
    <mergeCell ref="G191:H191"/>
    <mergeCell ref="G192:H192"/>
    <mergeCell ref="G193:H193"/>
    <mergeCell ref="P202:R202"/>
    <mergeCell ref="S202:S204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J203:J205"/>
    <mergeCell ref="K203:K205"/>
    <mergeCell ref="L203:L205"/>
    <mergeCell ref="M203:M205"/>
    <mergeCell ref="N203:N205"/>
    <mergeCell ref="O203:O205"/>
    <mergeCell ref="P203:P205"/>
    <mergeCell ref="Q203:Q205"/>
    <mergeCell ref="R203:R205"/>
    <mergeCell ref="E210:E212"/>
    <mergeCell ref="G210:H210"/>
    <mergeCell ref="G211:H211"/>
    <mergeCell ref="G212:H212"/>
    <mergeCell ref="P221:R221"/>
    <mergeCell ref="S221:S223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22:K224"/>
    <mergeCell ref="L222:L224"/>
    <mergeCell ref="M222:M224"/>
    <mergeCell ref="N222:N224"/>
    <mergeCell ref="O222:O224"/>
    <mergeCell ref="P222:P224"/>
    <mergeCell ref="Q222:Q224"/>
    <mergeCell ref="R222:R224"/>
    <mergeCell ref="A228:A230"/>
    <mergeCell ref="E228:E230"/>
    <mergeCell ref="G228:H228"/>
    <mergeCell ref="G229:H229"/>
    <mergeCell ref="G230:H230"/>
    <mergeCell ref="P239:R239"/>
    <mergeCell ref="S239:S241"/>
    <mergeCell ref="B240:B242"/>
    <mergeCell ref="C240:C242"/>
    <mergeCell ref="D240:D242"/>
    <mergeCell ref="E240:E242"/>
    <mergeCell ref="F240:F242"/>
    <mergeCell ref="G240:G242"/>
    <mergeCell ref="H240:H242"/>
    <mergeCell ref="I240:I242"/>
    <mergeCell ref="J240:J242"/>
    <mergeCell ref="K240:K242"/>
    <mergeCell ref="L240:L242"/>
    <mergeCell ref="M240:M242"/>
    <mergeCell ref="N240:N242"/>
    <mergeCell ref="O240:O242"/>
    <mergeCell ref="P240:P242"/>
    <mergeCell ref="Q240:Q242"/>
    <mergeCell ref="R240:R242"/>
    <mergeCell ref="E245:E247"/>
    <mergeCell ref="G245:H245"/>
    <mergeCell ref="G246:H246"/>
    <mergeCell ref="G247:H247"/>
    <mergeCell ref="P256:R256"/>
    <mergeCell ref="S256:S258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J257:J259"/>
    <mergeCell ref="K257:K259"/>
    <mergeCell ref="L257:L259"/>
    <mergeCell ref="M257:M259"/>
    <mergeCell ref="N257:N259"/>
    <mergeCell ref="O257:O259"/>
    <mergeCell ref="P257:P259"/>
    <mergeCell ref="Q257:Q259"/>
    <mergeCell ref="R257:R259"/>
    <mergeCell ref="E262:E264"/>
    <mergeCell ref="G262:H262"/>
    <mergeCell ref="G263:H263"/>
    <mergeCell ref="G264:H264"/>
    <mergeCell ref="P273:R273"/>
    <mergeCell ref="S273:S275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J274:J276"/>
    <mergeCell ref="K274:K276"/>
    <mergeCell ref="L274:L276"/>
    <mergeCell ref="M274:M276"/>
    <mergeCell ref="N274:N276"/>
    <mergeCell ref="O274:O276"/>
    <mergeCell ref="P274:P276"/>
    <mergeCell ref="Q274:Q276"/>
    <mergeCell ref="R274:R276"/>
    <mergeCell ref="E279:E281"/>
    <mergeCell ref="G279:H279"/>
    <mergeCell ref="G280:H280"/>
    <mergeCell ref="G281:H281"/>
    <mergeCell ref="A308:A310"/>
    <mergeCell ref="P290:R290"/>
    <mergeCell ref="S290:S292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K293"/>
    <mergeCell ref="L291:L293"/>
    <mergeCell ref="M291:M293"/>
    <mergeCell ref="N291:N293"/>
    <mergeCell ref="O291:O293"/>
    <mergeCell ref="P291:P293"/>
    <mergeCell ref="Q291:Q293"/>
    <mergeCell ref="R291:R293"/>
    <mergeCell ref="E296:E298"/>
    <mergeCell ref="G296:H296"/>
    <mergeCell ref="G297:H297"/>
    <mergeCell ref="G298:H298"/>
    <mergeCell ref="P307:R307"/>
    <mergeCell ref="S307:S309"/>
    <mergeCell ref="B308:B310"/>
    <mergeCell ref="C308:C310"/>
    <mergeCell ref="D308:D310"/>
    <mergeCell ref="E308:E310"/>
    <mergeCell ref="F308:F310"/>
    <mergeCell ref="G308:G310"/>
    <mergeCell ref="H308:H310"/>
    <mergeCell ref="I308:I310"/>
    <mergeCell ref="J308:J310"/>
    <mergeCell ref="K308:K310"/>
    <mergeCell ref="L308:L310"/>
    <mergeCell ref="M308:M310"/>
    <mergeCell ref="N308:N310"/>
    <mergeCell ref="O308:O310"/>
    <mergeCell ref="P308:P310"/>
    <mergeCell ref="Q308:Q310"/>
    <mergeCell ref="R308:R310"/>
    <mergeCell ref="E313:E315"/>
    <mergeCell ref="G313:H313"/>
    <mergeCell ref="G314:H314"/>
    <mergeCell ref="G315:H315"/>
    <mergeCell ref="P324:R324"/>
    <mergeCell ref="S324:S326"/>
    <mergeCell ref="B325:B327"/>
    <mergeCell ref="C325:C327"/>
    <mergeCell ref="D325:D327"/>
    <mergeCell ref="E325:E327"/>
    <mergeCell ref="F325:F327"/>
    <mergeCell ref="G325:G327"/>
    <mergeCell ref="H325:H327"/>
    <mergeCell ref="I325:I327"/>
    <mergeCell ref="J325:J327"/>
    <mergeCell ref="K325:K327"/>
    <mergeCell ref="L325:L327"/>
    <mergeCell ref="M325:M327"/>
    <mergeCell ref="N325:N327"/>
    <mergeCell ref="O325:O327"/>
    <mergeCell ref="P325:P327"/>
    <mergeCell ref="Q325:Q327"/>
    <mergeCell ref="R325:R327"/>
    <mergeCell ref="E330:E332"/>
    <mergeCell ref="G330:H330"/>
    <mergeCell ref="G331:H331"/>
    <mergeCell ref="G332:H332"/>
    <mergeCell ref="P341:R341"/>
    <mergeCell ref="S341:S343"/>
    <mergeCell ref="A342:A344"/>
    <mergeCell ref="B342:B344"/>
    <mergeCell ref="C342:C344"/>
    <mergeCell ref="D342:D344"/>
    <mergeCell ref="E342:E344"/>
    <mergeCell ref="F342:F344"/>
    <mergeCell ref="G342:G344"/>
    <mergeCell ref="H342:H344"/>
    <mergeCell ref="I342:I344"/>
    <mergeCell ref="J342:J344"/>
    <mergeCell ref="K342:K344"/>
    <mergeCell ref="L342:L344"/>
    <mergeCell ref="M342:M344"/>
    <mergeCell ref="N342:N344"/>
    <mergeCell ref="O342:O344"/>
    <mergeCell ref="P342:P344"/>
    <mergeCell ref="Q342:Q344"/>
    <mergeCell ref="R342:R344"/>
    <mergeCell ref="E348:E350"/>
    <mergeCell ref="G348:H348"/>
    <mergeCell ref="G349:H349"/>
    <mergeCell ref="G350:H350"/>
    <mergeCell ref="P359:R359"/>
    <mergeCell ref="S359:S361"/>
    <mergeCell ref="B360:B362"/>
    <mergeCell ref="C360:C362"/>
    <mergeCell ref="D360:D362"/>
    <mergeCell ref="E360:E362"/>
    <mergeCell ref="F360:F362"/>
    <mergeCell ref="G360:G362"/>
    <mergeCell ref="H360:H362"/>
    <mergeCell ref="I360:I362"/>
    <mergeCell ref="J360:J362"/>
    <mergeCell ref="K360:K362"/>
    <mergeCell ref="L360:L362"/>
    <mergeCell ref="M360:M362"/>
    <mergeCell ref="N360:N362"/>
    <mergeCell ref="O360:O362"/>
    <mergeCell ref="P360:P362"/>
    <mergeCell ref="S377:S379"/>
    <mergeCell ref="B378:B380"/>
    <mergeCell ref="C378:C380"/>
    <mergeCell ref="D378:D380"/>
    <mergeCell ref="E378:E380"/>
    <mergeCell ref="F378:F380"/>
    <mergeCell ref="G378:G380"/>
    <mergeCell ref="H378:H380"/>
    <mergeCell ref="I378:I380"/>
    <mergeCell ref="J378:J380"/>
    <mergeCell ref="K378:K380"/>
    <mergeCell ref="L378:L380"/>
    <mergeCell ref="M378:M380"/>
    <mergeCell ref="N378:N380"/>
    <mergeCell ref="O378:O380"/>
    <mergeCell ref="P378:P380"/>
    <mergeCell ref="Q378:Q380"/>
    <mergeCell ref="R378:R380"/>
    <mergeCell ref="A383:A385"/>
    <mergeCell ref="E383:E385"/>
    <mergeCell ref="G383:H383"/>
    <mergeCell ref="G384:H384"/>
    <mergeCell ref="G385:H385"/>
    <mergeCell ref="Q360:Q362"/>
    <mergeCell ref="R360:R362"/>
    <mergeCell ref="A366:A368"/>
    <mergeCell ref="E366:E368"/>
    <mergeCell ref="G366:H366"/>
    <mergeCell ref="G367:H367"/>
    <mergeCell ref="G368:H368"/>
    <mergeCell ref="P377:R377"/>
    <mergeCell ref="A378:A380"/>
    <mergeCell ref="A360:A36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99"/>
  <sheetViews>
    <sheetView topLeftCell="B1" workbookViewId="0">
      <selection activeCell="D17" sqref="D17"/>
    </sheetView>
  </sheetViews>
  <sheetFormatPr defaultRowHeight="15" x14ac:dyDescent="0.25"/>
  <cols>
    <col min="1" max="1" width="12.42578125" customWidth="1"/>
    <col min="3" max="3" width="19" customWidth="1"/>
    <col min="4" max="4" width="77.28515625" bestFit="1" customWidth="1"/>
    <col min="5" max="5" width="16.5703125" customWidth="1"/>
    <col min="6" max="6" width="12.140625" customWidth="1"/>
    <col min="7" max="7" width="16.7109375" customWidth="1"/>
    <col min="8" max="8" width="18.5703125" customWidth="1"/>
    <col min="9" max="9" width="16" customWidth="1"/>
    <col min="10" max="10" width="15.140625" customWidth="1"/>
  </cols>
  <sheetData>
    <row r="1" spans="1:18" ht="15.75" x14ac:dyDescent="0.25">
      <c r="A1" s="1" t="s">
        <v>48</v>
      </c>
      <c r="B1" s="1"/>
      <c r="C1" s="1"/>
      <c r="D1" s="1"/>
      <c r="E1" s="1"/>
      <c r="F1" s="1"/>
      <c r="G1" s="1"/>
    </row>
    <row r="3" spans="1:18" x14ac:dyDescent="0.25">
      <c r="A3" s="305" t="s">
        <v>218</v>
      </c>
      <c r="B3" s="305"/>
      <c r="C3" s="34"/>
      <c r="D3" s="35"/>
      <c r="E3" s="35"/>
      <c r="F3" s="36"/>
      <c r="G3" s="36"/>
      <c r="H3" s="37"/>
      <c r="I3" s="37"/>
      <c r="J3" s="37"/>
      <c r="K3" s="37"/>
      <c r="L3" s="37"/>
      <c r="M3" s="37"/>
      <c r="N3" s="37"/>
      <c r="O3" s="37"/>
      <c r="P3" s="38"/>
      <c r="Q3" s="36"/>
      <c r="R3" s="36"/>
    </row>
    <row r="4" spans="1:18" ht="15.75" thickBot="1" x14ac:dyDescent="0.3">
      <c r="A4" s="39"/>
      <c r="B4" s="39"/>
      <c r="C4" s="40"/>
      <c r="D4" s="40"/>
      <c r="E4" s="40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68"/>
      <c r="R4" s="68"/>
    </row>
    <row r="6" spans="1:18" ht="31.5" x14ac:dyDescent="0.25">
      <c r="A6" s="42" t="s">
        <v>29</v>
      </c>
      <c r="B6" s="43">
        <v>1110</v>
      </c>
      <c r="C6" s="44" t="s">
        <v>49</v>
      </c>
      <c r="D6" s="297" t="s">
        <v>18</v>
      </c>
      <c r="E6" s="298"/>
      <c r="F6" s="298"/>
      <c r="G6" s="298"/>
      <c r="H6" s="298"/>
      <c r="I6" s="299"/>
      <c r="J6" s="45" t="s">
        <v>45</v>
      </c>
    </row>
    <row r="7" spans="1:18" ht="15.75" x14ac:dyDescent="0.25">
      <c r="A7" s="46" t="s">
        <v>50</v>
      </c>
      <c r="B7" s="300" t="s">
        <v>51</v>
      </c>
      <c r="C7" s="301"/>
      <c r="D7" s="301"/>
      <c r="E7" s="301"/>
      <c r="F7" s="301"/>
      <c r="G7" s="301"/>
      <c r="H7" s="302"/>
      <c r="I7" s="303"/>
      <c r="J7" s="47" t="s">
        <v>39</v>
      </c>
    </row>
    <row r="8" spans="1:18" ht="15.75" x14ac:dyDescent="0.25">
      <c r="A8" s="48"/>
      <c r="B8" s="49"/>
      <c r="C8" s="50"/>
      <c r="D8" s="304" t="s">
        <v>79</v>
      </c>
      <c r="E8" s="304"/>
      <c r="F8" s="304"/>
      <c r="G8" s="304"/>
      <c r="H8" s="304"/>
      <c r="I8" s="304"/>
      <c r="J8" s="47" t="s">
        <v>27</v>
      </c>
    </row>
    <row r="9" spans="1:18" ht="51" x14ac:dyDescent="0.25">
      <c r="A9" s="51" t="s">
        <v>80</v>
      </c>
      <c r="B9" s="52"/>
      <c r="C9" s="53" t="s">
        <v>81</v>
      </c>
      <c r="D9" s="54" t="s">
        <v>82</v>
      </c>
      <c r="E9" s="53" t="s">
        <v>52</v>
      </c>
      <c r="F9" s="53" t="s">
        <v>53</v>
      </c>
      <c r="G9" s="53" t="s">
        <v>54</v>
      </c>
      <c r="H9" s="55" t="s">
        <v>55</v>
      </c>
      <c r="I9" s="56" t="s">
        <v>56</v>
      </c>
      <c r="J9" s="47" t="s">
        <v>27</v>
      </c>
    </row>
    <row r="10" spans="1:18" x14ac:dyDescent="0.25">
      <c r="A10" s="57" t="s">
        <v>57</v>
      </c>
      <c r="B10" s="294" t="s">
        <v>58</v>
      </c>
      <c r="C10" s="295"/>
      <c r="D10" s="295" t="s">
        <v>79</v>
      </c>
      <c r="E10" s="296"/>
      <c r="F10" s="58"/>
      <c r="G10" s="59"/>
      <c r="H10" s="60"/>
      <c r="I10" s="61"/>
      <c r="J10" s="62" t="s">
        <v>27</v>
      </c>
    </row>
    <row r="11" spans="1:18" x14ac:dyDescent="0.25">
      <c r="A11" s="57"/>
      <c r="B11" s="69"/>
      <c r="C11" s="63">
        <v>1</v>
      </c>
      <c r="D11" s="209" t="s">
        <v>143</v>
      </c>
      <c r="E11" s="70">
        <v>7.04</v>
      </c>
      <c r="F11" s="64">
        <v>9.36</v>
      </c>
      <c r="G11" s="64">
        <v>9.36</v>
      </c>
      <c r="H11" s="66">
        <v>16.21</v>
      </c>
      <c r="I11" s="67">
        <f>H11/G11</f>
        <v>1.7318376068376071</v>
      </c>
      <c r="J11" s="62" t="s">
        <v>27</v>
      </c>
    </row>
    <row r="12" spans="1:18" ht="30" x14ac:dyDescent="0.25">
      <c r="A12" s="57"/>
      <c r="B12" s="69"/>
      <c r="C12" s="63">
        <v>2</v>
      </c>
      <c r="D12" s="209" t="s">
        <v>144</v>
      </c>
      <c r="E12" s="70">
        <v>7.04</v>
      </c>
      <c r="F12" s="64">
        <v>1.67</v>
      </c>
      <c r="G12" s="64">
        <v>1.67</v>
      </c>
      <c r="H12" s="66">
        <v>1.38</v>
      </c>
      <c r="I12" s="67">
        <f>H12/G12</f>
        <v>0.82634730538922152</v>
      </c>
      <c r="J12" s="62" t="s">
        <v>27</v>
      </c>
    </row>
    <row r="13" spans="1:18" x14ac:dyDescent="0.25">
      <c r="A13" s="57"/>
      <c r="B13" s="69"/>
      <c r="C13" s="63">
        <v>352</v>
      </c>
      <c r="D13" s="209" t="s">
        <v>348</v>
      </c>
      <c r="E13" s="70">
        <v>20</v>
      </c>
      <c r="F13" s="64">
        <v>28</v>
      </c>
      <c r="G13" s="64">
        <v>28</v>
      </c>
      <c r="H13" s="66">
        <v>47</v>
      </c>
      <c r="I13" s="67">
        <f>H13/G13</f>
        <v>1.6785714285714286</v>
      </c>
      <c r="J13" s="62" t="s">
        <v>27</v>
      </c>
    </row>
    <row r="14" spans="1:18" x14ac:dyDescent="0.25">
      <c r="A14" s="57" t="s">
        <v>220</v>
      </c>
      <c r="B14" s="294" t="s">
        <v>221</v>
      </c>
      <c r="C14" s="295"/>
      <c r="D14" s="295" t="s">
        <v>79</v>
      </c>
      <c r="E14" s="296"/>
      <c r="F14" s="58"/>
      <c r="G14" s="59"/>
      <c r="H14" s="60"/>
      <c r="I14" s="61"/>
      <c r="J14" s="62" t="s">
        <v>27</v>
      </c>
    </row>
    <row r="15" spans="1:18" x14ac:dyDescent="0.25">
      <c r="A15" s="57"/>
      <c r="B15" s="69"/>
      <c r="C15" s="63">
        <v>34</v>
      </c>
      <c r="D15" s="209" t="s">
        <v>145</v>
      </c>
      <c r="E15" s="325">
        <v>71039000</v>
      </c>
      <c r="F15" s="326">
        <v>-35411</v>
      </c>
      <c r="G15" s="326">
        <v>-35411</v>
      </c>
      <c r="H15" s="327">
        <v>37709600</v>
      </c>
      <c r="I15" s="67">
        <f>H15/G15</f>
        <v>-1064.912032984101</v>
      </c>
      <c r="J15" s="62" t="s">
        <v>27</v>
      </c>
    </row>
    <row r="16" spans="1:18" ht="15" customHeight="1" x14ac:dyDescent="0.25">
      <c r="A16" s="57" t="s">
        <v>222</v>
      </c>
      <c r="B16" s="294" t="s">
        <v>224</v>
      </c>
      <c r="C16" s="295"/>
      <c r="D16" s="295" t="s">
        <v>79</v>
      </c>
      <c r="E16" s="296"/>
      <c r="F16" s="58"/>
      <c r="G16" s="59"/>
      <c r="H16" s="60"/>
      <c r="I16" s="61"/>
      <c r="J16" s="62" t="s">
        <v>27</v>
      </c>
    </row>
    <row r="17" spans="1:10" ht="30" x14ac:dyDescent="0.25">
      <c r="A17" s="57"/>
      <c r="B17" s="69"/>
      <c r="C17" s="63">
        <v>98</v>
      </c>
      <c r="D17" s="209" t="s">
        <v>445</v>
      </c>
      <c r="E17" s="70">
        <v>0</v>
      </c>
      <c r="F17" s="64">
        <v>0</v>
      </c>
      <c r="G17" s="64">
        <v>0</v>
      </c>
      <c r="H17" s="66">
        <v>0</v>
      </c>
      <c r="I17" s="67" t="e">
        <f>H17/G17</f>
        <v>#DIV/0!</v>
      </c>
      <c r="J17" s="62" t="s">
        <v>27</v>
      </c>
    </row>
    <row r="18" spans="1:10" x14ac:dyDescent="0.25">
      <c r="A18" s="57"/>
      <c r="B18" s="69"/>
      <c r="C18" s="63">
        <v>198</v>
      </c>
      <c r="D18" s="209" t="s">
        <v>446</v>
      </c>
      <c r="E18" s="70">
        <v>-445</v>
      </c>
      <c r="F18" s="64">
        <v>300</v>
      </c>
      <c r="G18" s="64">
        <v>300</v>
      </c>
      <c r="H18" s="66">
        <v>300</v>
      </c>
      <c r="I18" s="67">
        <f t="shared" ref="I18:I26" si="0">H18/G18</f>
        <v>1</v>
      </c>
      <c r="J18" s="62" t="s">
        <v>27</v>
      </c>
    </row>
    <row r="19" spans="1:10" ht="30" x14ac:dyDescent="0.25">
      <c r="A19" s="57"/>
      <c r="B19" s="69"/>
      <c r="C19" s="63">
        <v>672</v>
      </c>
      <c r="D19" s="209" t="s">
        <v>146</v>
      </c>
      <c r="E19" s="70">
        <v>100</v>
      </c>
      <c r="F19" s="64">
        <v>100</v>
      </c>
      <c r="G19" s="64">
        <v>100</v>
      </c>
      <c r="H19" s="66">
        <v>100</v>
      </c>
      <c r="I19" s="67">
        <f t="shared" si="0"/>
        <v>1</v>
      </c>
      <c r="J19" s="62" t="s">
        <v>27</v>
      </c>
    </row>
    <row r="20" spans="1:10" ht="45" x14ac:dyDescent="0.25">
      <c r="A20" s="57"/>
      <c r="B20" s="69"/>
      <c r="C20" s="63">
        <v>688</v>
      </c>
      <c r="D20" s="209" t="s">
        <v>147</v>
      </c>
      <c r="E20" s="70">
        <v>22057.5</v>
      </c>
      <c r="F20" s="64">
        <v>39942.199999999997</v>
      </c>
      <c r="G20" s="64">
        <v>39942.199999999997</v>
      </c>
      <c r="H20" s="66">
        <v>105253</v>
      </c>
      <c r="I20" s="67">
        <f t="shared" si="0"/>
        <v>2.6351327668480957</v>
      </c>
      <c r="J20" s="62" t="s">
        <v>27</v>
      </c>
    </row>
    <row r="21" spans="1:10" x14ac:dyDescent="0.25">
      <c r="A21" s="57"/>
      <c r="B21" s="69"/>
      <c r="C21" s="63">
        <v>694</v>
      </c>
      <c r="D21" s="209" t="s">
        <v>148</v>
      </c>
      <c r="E21" s="70">
        <v>1</v>
      </c>
      <c r="F21" s="64">
        <v>1</v>
      </c>
      <c r="G21" s="64">
        <v>1</v>
      </c>
      <c r="H21" s="66">
        <v>1</v>
      </c>
      <c r="I21" s="67">
        <f t="shared" si="0"/>
        <v>1</v>
      </c>
      <c r="J21" s="62" t="s">
        <v>27</v>
      </c>
    </row>
    <row r="22" spans="1:10" s="208" customFormat="1" x14ac:dyDescent="0.25">
      <c r="A22" s="57"/>
      <c r="B22" s="69"/>
      <c r="C22" s="63">
        <v>776</v>
      </c>
      <c r="D22" s="209" t="s">
        <v>350</v>
      </c>
      <c r="E22" s="70">
        <v>1</v>
      </c>
      <c r="F22" s="64">
        <v>1</v>
      </c>
      <c r="G22" s="64">
        <v>1</v>
      </c>
      <c r="H22" s="66">
        <v>1</v>
      </c>
      <c r="I22" s="67">
        <f t="shared" ref="I22:I25" si="1">H22/G22</f>
        <v>1</v>
      </c>
      <c r="J22" s="62" t="s">
        <v>27</v>
      </c>
    </row>
    <row r="23" spans="1:10" s="208" customFormat="1" ht="30" x14ac:dyDescent="0.25">
      <c r="A23" s="57"/>
      <c r="B23" s="69"/>
      <c r="C23" s="63">
        <v>754</v>
      </c>
      <c r="D23" s="209" t="s">
        <v>352</v>
      </c>
      <c r="E23" s="70">
        <v>1</v>
      </c>
      <c r="F23" s="64">
        <v>1</v>
      </c>
      <c r="G23" s="64">
        <v>1</v>
      </c>
      <c r="H23" s="66">
        <v>1</v>
      </c>
      <c r="I23" s="67">
        <f t="shared" si="1"/>
        <v>1</v>
      </c>
      <c r="J23" s="62" t="s">
        <v>27</v>
      </c>
    </row>
    <row r="24" spans="1:10" s="208" customFormat="1" ht="30" x14ac:dyDescent="0.25">
      <c r="A24" s="57"/>
      <c r="B24" s="69"/>
      <c r="C24" s="63">
        <v>781</v>
      </c>
      <c r="D24" s="209" t="s">
        <v>354</v>
      </c>
      <c r="E24" s="70">
        <v>1</v>
      </c>
      <c r="F24" s="64">
        <v>1</v>
      </c>
      <c r="G24" s="64">
        <v>1</v>
      </c>
      <c r="H24" s="66">
        <v>1</v>
      </c>
      <c r="I24" s="67">
        <f t="shared" si="1"/>
        <v>1</v>
      </c>
      <c r="J24" s="62" t="s">
        <v>27</v>
      </c>
    </row>
    <row r="25" spans="1:10" s="208" customFormat="1" x14ac:dyDescent="0.25">
      <c r="A25" s="57"/>
      <c r="B25" s="69"/>
      <c r="C25" s="63">
        <v>240</v>
      </c>
      <c r="D25" s="209" t="s">
        <v>356</v>
      </c>
      <c r="E25" s="70">
        <v>1584</v>
      </c>
      <c r="F25" s="64">
        <v>1020</v>
      </c>
      <c r="G25" s="64">
        <v>1020</v>
      </c>
      <c r="H25" s="66">
        <v>375</v>
      </c>
      <c r="I25" s="67">
        <f t="shared" si="1"/>
        <v>0.36764705882352944</v>
      </c>
      <c r="J25" s="62" t="s">
        <v>27</v>
      </c>
    </row>
    <row r="26" spans="1:10" ht="30" x14ac:dyDescent="0.25">
      <c r="A26" s="57"/>
      <c r="B26" s="69"/>
      <c r="C26" s="63">
        <v>260</v>
      </c>
      <c r="D26" s="209" t="s">
        <v>358</v>
      </c>
      <c r="E26" s="70">
        <v>0</v>
      </c>
      <c r="F26" s="64">
        <v>0</v>
      </c>
      <c r="G26" s="64">
        <v>0</v>
      </c>
      <c r="H26" s="66">
        <v>0</v>
      </c>
      <c r="I26" s="67" t="e">
        <f t="shared" si="0"/>
        <v>#DIV/0!</v>
      </c>
      <c r="J26" s="62" t="s">
        <v>27</v>
      </c>
    </row>
    <row r="30" spans="1:10" ht="31.5" x14ac:dyDescent="0.25">
      <c r="A30" s="42" t="s">
        <v>29</v>
      </c>
      <c r="B30" s="43">
        <v>1170</v>
      </c>
      <c r="C30" s="44" t="s">
        <v>49</v>
      </c>
      <c r="D30" s="297" t="s">
        <v>93</v>
      </c>
      <c r="E30" s="298"/>
      <c r="F30" s="298"/>
      <c r="G30" s="298"/>
      <c r="H30" s="298"/>
      <c r="I30" s="299"/>
      <c r="J30" s="45" t="s">
        <v>45</v>
      </c>
    </row>
    <row r="31" spans="1:10" ht="15.75" x14ac:dyDescent="0.25">
      <c r="A31" s="46" t="s">
        <v>50</v>
      </c>
      <c r="B31" s="300" t="s">
        <v>225</v>
      </c>
      <c r="C31" s="301"/>
      <c r="D31" s="301"/>
      <c r="E31" s="301"/>
      <c r="F31" s="301"/>
      <c r="G31" s="301"/>
      <c r="H31" s="302"/>
      <c r="I31" s="303"/>
      <c r="J31" s="47" t="s">
        <v>39</v>
      </c>
    </row>
    <row r="32" spans="1:10" ht="15.75" x14ac:dyDescent="0.25">
      <c r="A32" s="48"/>
      <c r="B32" s="49"/>
      <c r="C32" s="50"/>
      <c r="D32" s="304" t="s">
        <v>79</v>
      </c>
      <c r="E32" s="304"/>
      <c r="F32" s="304"/>
      <c r="G32" s="304"/>
      <c r="H32" s="304"/>
      <c r="I32" s="304"/>
      <c r="J32" s="47" t="s">
        <v>27</v>
      </c>
    </row>
    <row r="33" spans="1:10" x14ac:dyDescent="0.25">
      <c r="A33" s="51" t="s">
        <v>80</v>
      </c>
      <c r="B33" s="52"/>
      <c r="C33" s="53" t="s">
        <v>81</v>
      </c>
      <c r="D33" s="54" t="s">
        <v>82</v>
      </c>
      <c r="E33" s="53" t="s">
        <v>52</v>
      </c>
      <c r="F33" s="53" t="s">
        <v>53</v>
      </c>
      <c r="G33" s="53" t="s">
        <v>54</v>
      </c>
      <c r="H33" s="55" t="s">
        <v>55</v>
      </c>
      <c r="I33" s="56" t="s">
        <v>56</v>
      </c>
      <c r="J33" s="47" t="s">
        <v>27</v>
      </c>
    </row>
    <row r="34" spans="1:10" x14ac:dyDescent="0.25">
      <c r="A34" s="57" t="s">
        <v>57</v>
      </c>
      <c r="B34" s="294" t="s">
        <v>226</v>
      </c>
      <c r="C34" s="295"/>
      <c r="D34" s="295" t="s">
        <v>79</v>
      </c>
      <c r="E34" s="296"/>
      <c r="F34" s="58"/>
      <c r="G34" s="59"/>
      <c r="H34" s="60"/>
      <c r="I34" s="61"/>
      <c r="J34" s="62" t="s">
        <v>27</v>
      </c>
    </row>
    <row r="35" spans="1:10" ht="30" x14ac:dyDescent="0.25">
      <c r="A35" s="57"/>
      <c r="B35" s="69"/>
      <c r="C35" s="63">
        <v>37</v>
      </c>
      <c r="D35" s="209" t="s">
        <v>151</v>
      </c>
      <c r="E35" s="70">
        <v>1502</v>
      </c>
      <c r="F35" s="64">
        <v>1487.5</v>
      </c>
      <c r="G35" s="64">
        <v>1487.5</v>
      </c>
      <c r="H35" s="66">
        <v>1463.75</v>
      </c>
      <c r="I35" s="67">
        <f>H35/G35</f>
        <v>0.9840336134453781</v>
      </c>
      <c r="J35" s="62" t="s">
        <v>27</v>
      </c>
    </row>
    <row r="36" spans="1:10" x14ac:dyDescent="0.25">
      <c r="A36" s="57"/>
      <c r="B36" s="69"/>
      <c r="C36" s="63">
        <v>543</v>
      </c>
      <c r="D36" s="209" t="s">
        <v>447</v>
      </c>
      <c r="E36" s="70">
        <v>0</v>
      </c>
      <c r="F36" s="64">
        <v>100</v>
      </c>
      <c r="G36" s="65">
        <v>100</v>
      </c>
      <c r="H36" s="66">
        <v>100</v>
      </c>
      <c r="I36" s="67">
        <f>H36/G36</f>
        <v>1</v>
      </c>
      <c r="J36" s="62" t="s">
        <v>27</v>
      </c>
    </row>
    <row r="37" spans="1:10" x14ac:dyDescent="0.25">
      <c r="A37" s="57"/>
      <c r="B37" s="69"/>
      <c r="C37" s="63">
        <v>211</v>
      </c>
      <c r="D37" s="209" t="s">
        <v>360</v>
      </c>
      <c r="E37" s="70">
        <v>1500</v>
      </c>
      <c r="F37" s="64">
        <v>1600</v>
      </c>
      <c r="G37" s="64">
        <v>1600</v>
      </c>
      <c r="H37" s="66">
        <v>1600</v>
      </c>
      <c r="I37" s="67">
        <f>H37/G37</f>
        <v>1</v>
      </c>
      <c r="J37" s="62" t="s">
        <v>27</v>
      </c>
    </row>
    <row r="38" spans="1:10" x14ac:dyDescent="0.25">
      <c r="A38" s="57"/>
      <c r="B38" s="69"/>
      <c r="C38" s="63">
        <v>125</v>
      </c>
      <c r="D38" s="209" t="s">
        <v>362</v>
      </c>
      <c r="E38" s="70">
        <v>5</v>
      </c>
      <c r="F38" s="64">
        <v>5</v>
      </c>
      <c r="G38" s="64">
        <v>5</v>
      </c>
      <c r="H38" s="66">
        <v>5</v>
      </c>
      <c r="I38" s="67">
        <f>H38/G38</f>
        <v>1</v>
      </c>
      <c r="J38" s="62" t="s">
        <v>27</v>
      </c>
    </row>
    <row r="42" spans="1:10" ht="31.5" x14ac:dyDescent="0.25">
      <c r="A42" s="42" t="s">
        <v>29</v>
      </c>
      <c r="B42" s="43">
        <v>1710</v>
      </c>
      <c r="C42" s="44" t="s">
        <v>49</v>
      </c>
      <c r="D42" s="297" t="s">
        <v>94</v>
      </c>
      <c r="E42" s="298"/>
      <c r="F42" s="298"/>
      <c r="G42" s="298"/>
      <c r="H42" s="298"/>
      <c r="I42" s="299"/>
      <c r="J42" s="45" t="s">
        <v>45</v>
      </c>
    </row>
    <row r="43" spans="1:10" ht="15.75" x14ac:dyDescent="0.25">
      <c r="A43" s="46" t="s">
        <v>50</v>
      </c>
      <c r="B43" s="300" t="s">
        <v>227</v>
      </c>
      <c r="C43" s="301"/>
      <c r="D43" s="301"/>
      <c r="E43" s="301"/>
      <c r="F43" s="301"/>
      <c r="G43" s="301"/>
      <c r="H43" s="302"/>
      <c r="I43" s="303"/>
      <c r="J43" s="47" t="s">
        <v>39</v>
      </c>
    </row>
    <row r="44" spans="1:10" ht="15.75" x14ac:dyDescent="0.25">
      <c r="A44" s="48"/>
      <c r="B44" s="49"/>
      <c r="C44" s="50"/>
      <c r="D44" s="304" t="s">
        <v>79</v>
      </c>
      <c r="E44" s="304"/>
      <c r="F44" s="304"/>
      <c r="G44" s="304"/>
      <c r="H44" s="304"/>
      <c r="I44" s="304"/>
      <c r="J44" s="47" t="s">
        <v>27</v>
      </c>
    </row>
    <row r="45" spans="1:10" ht="51" x14ac:dyDescent="0.25">
      <c r="A45" s="51" t="s">
        <v>80</v>
      </c>
      <c r="B45" s="52"/>
      <c r="C45" s="53" t="s">
        <v>81</v>
      </c>
      <c r="D45" s="54" t="s">
        <v>82</v>
      </c>
      <c r="E45" s="53" t="s">
        <v>52</v>
      </c>
      <c r="F45" s="53" t="s">
        <v>53</v>
      </c>
      <c r="G45" s="53" t="s">
        <v>54</v>
      </c>
      <c r="H45" s="55" t="s">
        <v>55</v>
      </c>
      <c r="I45" s="56" t="s">
        <v>56</v>
      </c>
      <c r="J45" s="47" t="s">
        <v>27</v>
      </c>
    </row>
    <row r="46" spans="1:10" x14ac:dyDescent="0.25">
      <c r="A46" s="57" t="s">
        <v>57</v>
      </c>
      <c r="B46" s="294" t="s">
        <v>228</v>
      </c>
      <c r="C46" s="295"/>
      <c r="D46" s="295" t="s">
        <v>79</v>
      </c>
      <c r="E46" s="296"/>
      <c r="F46" s="58"/>
      <c r="G46" s="59"/>
      <c r="H46" s="60"/>
      <c r="I46" s="61"/>
      <c r="J46" s="62" t="s">
        <v>27</v>
      </c>
    </row>
    <row r="47" spans="1:10" x14ac:dyDescent="0.25">
      <c r="A47" s="57"/>
      <c r="B47" s="69"/>
      <c r="C47" s="63">
        <v>41</v>
      </c>
      <c r="D47" s="209" t="s">
        <v>152</v>
      </c>
      <c r="E47" s="325">
        <v>3063000</v>
      </c>
      <c r="F47" s="326">
        <v>8144000</v>
      </c>
      <c r="G47" s="326">
        <v>8144000</v>
      </c>
      <c r="H47" s="327">
        <v>7489000</v>
      </c>
      <c r="I47" s="67">
        <f>H47/G47</f>
        <v>0.91957269155206289</v>
      </c>
      <c r="J47" s="62" t="s">
        <v>27</v>
      </c>
    </row>
    <row r="51" spans="1:10" ht="31.5" x14ac:dyDescent="0.25">
      <c r="A51" s="42" t="s">
        <v>29</v>
      </c>
      <c r="B51" s="43">
        <v>3140</v>
      </c>
      <c r="C51" s="44" t="s">
        <v>49</v>
      </c>
      <c r="D51" s="297" t="s">
        <v>95</v>
      </c>
      <c r="E51" s="298"/>
      <c r="F51" s="298"/>
      <c r="G51" s="298"/>
      <c r="H51" s="298"/>
      <c r="I51" s="299"/>
      <c r="J51" s="45" t="s">
        <v>45</v>
      </c>
    </row>
    <row r="52" spans="1:10" ht="15.75" x14ac:dyDescent="0.25">
      <c r="A52" s="46" t="s">
        <v>50</v>
      </c>
      <c r="B52" s="300" t="s">
        <v>229</v>
      </c>
      <c r="C52" s="301"/>
      <c r="D52" s="301"/>
      <c r="E52" s="301"/>
      <c r="F52" s="301"/>
      <c r="G52" s="301"/>
      <c r="H52" s="302"/>
      <c r="I52" s="303"/>
      <c r="J52" s="47" t="s">
        <v>39</v>
      </c>
    </row>
    <row r="53" spans="1:10" ht="15.75" x14ac:dyDescent="0.25">
      <c r="A53" s="48"/>
      <c r="B53" s="49"/>
      <c r="C53" s="50"/>
      <c r="D53" s="304" t="s">
        <v>79</v>
      </c>
      <c r="E53" s="304"/>
      <c r="F53" s="304"/>
      <c r="G53" s="304"/>
      <c r="H53" s="304"/>
      <c r="I53" s="304"/>
      <c r="J53" s="47" t="s">
        <v>27</v>
      </c>
    </row>
    <row r="54" spans="1:10" ht="51" x14ac:dyDescent="0.25">
      <c r="A54" s="51" t="s">
        <v>80</v>
      </c>
      <c r="B54" s="52"/>
      <c r="C54" s="53" t="s">
        <v>81</v>
      </c>
      <c r="D54" s="54" t="s">
        <v>82</v>
      </c>
      <c r="E54" s="53" t="s">
        <v>52</v>
      </c>
      <c r="F54" s="53" t="s">
        <v>53</v>
      </c>
      <c r="G54" s="53" t="s">
        <v>54</v>
      </c>
      <c r="H54" s="55" t="s">
        <v>55</v>
      </c>
      <c r="I54" s="56" t="s">
        <v>56</v>
      </c>
      <c r="J54" s="47" t="s">
        <v>27</v>
      </c>
    </row>
    <row r="55" spans="1:10" x14ac:dyDescent="0.25">
      <c r="A55" s="57" t="s">
        <v>57</v>
      </c>
      <c r="B55" s="294" t="s">
        <v>230</v>
      </c>
      <c r="C55" s="295"/>
      <c r="D55" s="295" t="s">
        <v>79</v>
      </c>
      <c r="E55" s="296"/>
      <c r="F55" s="58"/>
      <c r="G55" s="59"/>
      <c r="H55" s="60"/>
      <c r="I55" s="61"/>
      <c r="J55" s="62" t="s">
        <v>27</v>
      </c>
    </row>
    <row r="56" spans="1:10" ht="30" x14ac:dyDescent="0.25">
      <c r="A56" s="57"/>
      <c r="B56" s="69"/>
      <c r="C56" s="63">
        <v>42</v>
      </c>
      <c r="D56" s="209" t="s">
        <v>154</v>
      </c>
      <c r="E56" s="70">
        <v>60</v>
      </c>
      <c r="F56" s="64">
        <v>66.67</v>
      </c>
      <c r="G56" s="64">
        <v>66.67</v>
      </c>
      <c r="H56" s="66">
        <v>80</v>
      </c>
      <c r="I56" s="67">
        <f t="shared" ref="I56:I62" si="2">H56/G56</f>
        <v>1.1999400029998499</v>
      </c>
      <c r="J56" s="62" t="s">
        <v>27</v>
      </c>
    </row>
    <row r="57" spans="1:10" ht="30" x14ac:dyDescent="0.25">
      <c r="A57" s="57"/>
      <c r="B57" s="69"/>
      <c r="C57" s="63">
        <v>45</v>
      </c>
      <c r="D57" s="209" t="s">
        <v>155</v>
      </c>
      <c r="E57" s="70">
        <v>0</v>
      </c>
      <c r="F57" s="64">
        <v>0</v>
      </c>
      <c r="G57" s="64">
        <v>0</v>
      </c>
      <c r="H57" s="66">
        <v>0</v>
      </c>
      <c r="I57" s="67" t="e">
        <f t="shared" si="2"/>
        <v>#DIV/0!</v>
      </c>
      <c r="J57" s="62" t="s">
        <v>27</v>
      </c>
    </row>
    <row r="58" spans="1:10" x14ac:dyDescent="0.25">
      <c r="A58" s="57"/>
      <c r="B58" s="69"/>
      <c r="C58" s="63">
        <v>48</v>
      </c>
      <c r="D58" s="209" t="s">
        <v>156</v>
      </c>
      <c r="E58" s="70">
        <v>33.33</v>
      </c>
      <c r="F58" s="64">
        <v>33.33</v>
      </c>
      <c r="G58" s="64">
        <v>33.33</v>
      </c>
      <c r="H58" s="66">
        <v>0</v>
      </c>
      <c r="I58" s="67">
        <f t="shared" si="2"/>
        <v>0</v>
      </c>
      <c r="J58" s="62" t="s">
        <v>27</v>
      </c>
    </row>
    <row r="59" spans="1:10" x14ac:dyDescent="0.25">
      <c r="A59" s="57"/>
      <c r="B59" s="69"/>
      <c r="C59" s="63">
        <v>253</v>
      </c>
      <c r="D59" s="209" t="s">
        <v>364</v>
      </c>
      <c r="E59" s="70">
        <v>1</v>
      </c>
      <c r="F59" s="64">
        <v>1</v>
      </c>
      <c r="G59" s="64">
        <v>1</v>
      </c>
      <c r="H59" s="66">
        <v>0</v>
      </c>
      <c r="I59" s="67">
        <f t="shared" si="2"/>
        <v>0</v>
      </c>
      <c r="J59" s="62" t="s">
        <v>27</v>
      </c>
    </row>
    <row r="60" spans="1:10" s="208" customFormat="1" x14ac:dyDescent="0.25">
      <c r="A60" s="57"/>
      <c r="B60" s="69"/>
      <c r="C60" s="63">
        <v>169</v>
      </c>
      <c r="D60" s="209" t="s">
        <v>366</v>
      </c>
      <c r="E60" s="70">
        <v>1</v>
      </c>
      <c r="F60" s="64">
        <v>6</v>
      </c>
      <c r="G60" s="64">
        <v>6</v>
      </c>
      <c r="H60" s="66">
        <v>0</v>
      </c>
      <c r="I60" s="67">
        <f t="shared" ref="I60" si="3">H60/G60</f>
        <v>0</v>
      </c>
      <c r="J60" s="62" t="s">
        <v>27</v>
      </c>
    </row>
    <row r="61" spans="1:10" x14ac:dyDescent="0.25">
      <c r="A61" s="57"/>
      <c r="B61" s="69"/>
      <c r="C61" s="63">
        <v>15</v>
      </c>
      <c r="D61" s="209" t="s">
        <v>368</v>
      </c>
      <c r="E61" s="70">
        <v>30</v>
      </c>
      <c r="F61" s="64">
        <v>40</v>
      </c>
      <c r="G61" s="64">
        <v>40</v>
      </c>
      <c r="H61" s="66">
        <v>40</v>
      </c>
      <c r="I61" s="67">
        <f t="shared" si="2"/>
        <v>1</v>
      </c>
      <c r="J61" s="62" t="s">
        <v>27</v>
      </c>
    </row>
    <row r="62" spans="1:10" x14ac:dyDescent="0.25">
      <c r="A62" s="57"/>
      <c r="B62" s="69"/>
      <c r="C62" s="63">
        <v>17</v>
      </c>
      <c r="D62" s="209" t="s">
        <v>370</v>
      </c>
      <c r="E62" s="70">
        <v>50</v>
      </c>
      <c r="F62" s="64">
        <v>60</v>
      </c>
      <c r="G62" s="64">
        <v>60</v>
      </c>
      <c r="H62" s="66">
        <v>50</v>
      </c>
      <c r="I62" s="67">
        <f t="shared" si="2"/>
        <v>0.83333333333333337</v>
      </c>
      <c r="J62" s="62" t="s">
        <v>27</v>
      </c>
    </row>
    <row r="66" spans="1:10" ht="31.5" x14ac:dyDescent="0.25">
      <c r="A66" s="42" t="s">
        <v>29</v>
      </c>
      <c r="B66" s="43">
        <v>3280</v>
      </c>
      <c r="C66" s="44" t="s">
        <v>49</v>
      </c>
      <c r="D66" s="297" t="s">
        <v>96</v>
      </c>
      <c r="E66" s="298"/>
      <c r="F66" s="298"/>
      <c r="G66" s="298"/>
      <c r="H66" s="298"/>
      <c r="I66" s="299"/>
      <c r="J66" s="45" t="s">
        <v>45</v>
      </c>
    </row>
    <row r="67" spans="1:10" ht="15.75" x14ac:dyDescent="0.25">
      <c r="A67" s="46" t="s">
        <v>50</v>
      </c>
      <c r="B67" s="300" t="s">
        <v>231</v>
      </c>
      <c r="C67" s="301"/>
      <c r="D67" s="301"/>
      <c r="E67" s="301"/>
      <c r="F67" s="301"/>
      <c r="G67" s="301"/>
      <c r="H67" s="302"/>
      <c r="I67" s="303"/>
      <c r="J67" s="47" t="s">
        <v>39</v>
      </c>
    </row>
    <row r="68" spans="1:10" ht="15.75" x14ac:dyDescent="0.25">
      <c r="A68" s="48"/>
      <c r="B68" s="49"/>
      <c r="C68" s="50"/>
      <c r="D68" s="304" t="s">
        <v>79</v>
      </c>
      <c r="E68" s="304"/>
      <c r="F68" s="304"/>
      <c r="G68" s="304"/>
      <c r="H68" s="304"/>
      <c r="I68" s="304"/>
      <c r="J68" s="47" t="s">
        <v>27</v>
      </c>
    </row>
    <row r="69" spans="1:10" ht="51" x14ac:dyDescent="0.25">
      <c r="A69" s="51" t="s">
        <v>80</v>
      </c>
      <c r="B69" s="52"/>
      <c r="C69" s="53" t="s">
        <v>81</v>
      </c>
      <c r="D69" s="54" t="s">
        <v>82</v>
      </c>
      <c r="E69" s="53" t="s">
        <v>52</v>
      </c>
      <c r="F69" s="53" t="s">
        <v>53</v>
      </c>
      <c r="G69" s="53" t="s">
        <v>54</v>
      </c>
      <c r="H69" s="55" t="s">
        <v>55</v>
      </c>
      <c r="I69" s="56" t="s">
        <v>56</v>
      </c>
      <c r="J69" s="47" t="s">
        <v>27</v>
      </c>
    </row>
    <row r="70" spans="1:10" x14ac:dyDescent="0.25">
      <c r="A70" s="57" t="s">
        <v>57</v>
      </c>
      <c r="B70" s="294" t="s">
        <v>232</v>
      </c>
      <c r="C70" s="295"/>
      <c r="D70" s="295" t="s">
        <v>79</v>
      </c>
      <c r="E70" s="296"/>
      <c r="F70" s="58"/>
      <c r="G70" s="59"/>
      <c r="H70" s="60"/>
      <c r="I70" s="61"/>
      <c r="J70" s="62" t="s">
        <v>27</v>
      </c>
    </row>
    <row r="71" spans="1:10" ht="30" x14ac:dyDescent="0.25">
      <c r="A71" s="57"/>
      <c r="B71" s="69"/>
      <c r="C71" s="63">
        <v>62</v>
      </c>
      <c r="D71" s="209" t="s">
        <v>159</v>
      </c>
      <c r="E71" s="70">
        <v>100</v>
      </c>
      <c r="F71" s="64">
        <v>100</v>
      </c>
      <c r="G71" s="64">
        <v>100</v>
      </c>
      <c r="H71" s="66">
        <v>100</v>
      </c>
      <c r="I71" s="67">
        <f>H71/G71</f>
        <v>1</v>
      </c>
      <c r="J71" s="62" t="s">
        <v>27</v>
      </c>
    </row>
    <row r="72" spans="1:10" x14ac:dyDescent="0.25">
      <c r="A72" s="57"/>
      <c r="B72" s="69"/>
      <c r="C72" s="63">
        <v>68</v>
      </c>
      <c r="D72" s="209" t="s">
        <v>160</v>
      </c>
      <c r="E72" s="70">
        <v>490357</v>
      </c>
      <c r="F72" s="64">
        <v>667600</v>
      </c>
      <c r="G72" s="64">
        <v>667600</v>
      </c>
      <c r="H72" s="66">
        <v>486813</v>
      </c>
      <c r="I72" s="67">
        <f>H72/G72</f>
        <v>0.72919862192929896</v>
      </c>
      <c r="J72" s="62" t="s">
        <v>27</v>
      </c>
    </row>
    <row r="73" spans="1:10" x14ac:dyDescent="0.25">
      <c r="A73" s="57"/>
      <c r="B73" s="69"/>
      <c r="C73" s="63">
        <v>631</v>
      </c>
      <c r="D73" s="209" t="s">
        <v>448</v>
      </c>
      <c r="E73" s="70">
        <v>-8</v>
      </c>
      <c r="F73" s="64">
        <v>2</v>
      </c>
      <c r="G73" s="64">
        <v>2</v>
      </c>
      <c r="H73" s="66">
        <v>4</v>
      </c>
      <c r="I73" s="67">
        <f>H73/G73</f>
        <v>2</v>
      </c>
      <c r="J73" s="62" t="s">
        <v>27</v>
      </c>
    </row>
    <row r="74" spans="1:10" x14ac:dyDescent="0.25">
      <c r="A74" s="57"/>
      <c r="B74" s="69"/>
      <c r="C74" s="63">
        <v>118</v>
      </c>
      <c r="D74" s="209" t="s">
        <v>372</v>
      </c>
      <c r="E74" s="70">
        <v>40</v>
      </c>
      <c r="F74" s="64">
        <v>40</v>
      </c>
      <c r="G74" s="64">
        <v>40</v>
      </c>
      <c r="H74" s="66">
        <v>40</v>
      </c>
      <c r="I74" s="67">
        <f>H74/G74</f>
        <v>1</v>
      </c>
      <c r="J74" s="62" t="s">
        <v>27</v>
      </c>
    </row>
    <row r="75" spans="1:10" s="208" customFormat="1" x14ac:dyDescent="0.25">
      <c r="A75" s="57"/>
      <c r="B75" s="69"/>
      <c r="C75" s="63">
        <v>468</v>
      </c>
      <c r="D75" s="209" t="s">
        <v>374</v>
      </c>
      <c r="E75" s="70">
        <v>486</v>
      </c>
      <c r="F75" s="64">
        <v>486</v>
      </c>
      <c r="G75" s="64">
        <v>486</v>
      </c>
      <c r="H75" s="66">
        <v>486</v>
      </c>
      <c r="I75" s="67">
        <f>H75/G75</f>
        <v>1</v>
      </c>
      <c r="J75" s="62" t="s">
        <v>27</v>
      </c>
    </row>
    <row r="76" spans="1:10" x14ac:dyDescent="0.25">
      <c r="A76" s="57"/>
      <c r="B76" s="69"/>
      <c r="C76" s="63">
        <v>363</v>
      </c>
      <c r="D76" s="209" t="s">
        <v>376</v>
      </c>
      <c r="E76" s="70">
        <v>28</v>
      </c>
      <c r="F76" s="64">
        <v>30</v>
      </c>
      <c r="G76" s="64">
        <v>30</v>
      </c>
      <c r="H76" s="66">
        <v>32</v>
      </c>
      <c r="I76" s="67">
        <f>H76/G76</f>
        <v>1.0666666666666667</v>
      </c>
      <c r="J76" s="62" t="s">
        <v>27</v>
      </c>
    </row>
    <row r="77" spans="1:10" x14ac:dyDescent="0.25">
      <c r="A77" s="57" t="s">
        <v>83</v>
      </c>
      <c r="B77" s="294" t="s">
        <v>233</v>
      </c>
      <c r="C77" s="295"/>
      <c r="D77" s="295" t="s">
        <v>79</v>
      </c>
      <c r="E77" s="296"/>
      <c r="F77" s="58"/>
      <c r="G77" s="59"/>
      <c r="H77" s="60"/>
      <c r="I77" s="61"/>
      <c r="J77" s="62" t="s">
        <v>27</v>
      </c>
    </row>
    <row r="78" spans="1:10" x14ac:dyDescent="0.25">
      <c r="A78" s="57"/>
      <c r="B78" s="69"/>
      <c r="C78" s="63">
        <v>66</v>
      </c>
      <c r="D78" s="209" t="s">
        <v>161</v>
      </c>
      <c r="E78" s="70">
        <v>1</v>
      </c>
      <c r="F78" s="64">
        <v>1</v>
      </c>
      <c r="G78" s="65">
        <v>1</v>
      </c>
      <c r="H78" s="66">
        <v>1</v>
      </c>
      <c r="I78" s="67">
        <f>H78/G78</f>
        <v>1</v>
      </c>
      <c r="J78" s="62" t="s">
        <v>27</v>
      </c>
    </row>
    <row r="79" spans="1:10" x14ac:dyDescent="0.25">
      <c r="A79" s="57"/>
      <c r="B79" s="69"/>
      <c r="C79" s="63">
        <v>878</v>
      </c>
      <c r="D79" s="209" t="s">
        <v>378</v>
      </c>
      <c r="E79" s="70"/>
      <c r="F79" s="64">
        <v>2</v>
      </c>
      <c r="G79" s="65">
        <v>2</v>
      </c>
      <c r="H79" s="66">
        <v>0</v>
      </c>
      <c r="I79" s="67">
        <f>H79/G79</f>
        <v>0</v>
      </c>
      <c r="J79" s="62" t="s">
        <v>27</v>
      </c>
    </row>
    <row r="83" spans="1:10" ht="31.5" x14ac:dyDescent="0.25">
      <c r="A83" s="42" t="s">
        <v>29</v>
      </c>
      <c r="B83" s="43">
        <v>4130</v>
      </c>
      <c r="C83" s="44" t="s">
        <v>49</v>
      </c>
      <c r="D83" s="297" t="s">
        <v>97</v>
      </c>
      <c r="E83" s="298"/>
      <c r="F83" s="298"/>
      <c r="G83" s="298"/>
      <c r="H83" s="298"/>
      <c r="I83" s="299"/>
      <c r="J83" s="45" t="s">
        <v>45</v>
      </c>
    </row>
    <row r="84" spans="1:10" ht="15.75" x14ac:dyDescent="0.25">
      <c r="A84" s="46" t="s">
        <v>50</v>
      </c>
      <c r="B84" s="300" t="s">
        <v>234</v>
      </c>
      <c r="C84" s="301"/>
      <c r="D84" s="301"/>
      <c r="E84" s="301"/>
      <c r="F84" s="301"/>
      <c r="G84" s="301"/>
      <c r="H84" s="302"/>
      <c r="I84" s="303"/>
      <c r="J84" s="47" t="s">
        <v>39</v>
      </c>
    </row>
    <row r="85" spans="1:10" ht="15.75" x14ac:dyDescent="0.25">
      <c r="A85" s="48"/>
      <c r="B85" s="49"/>
      <c r="C85" s="50"/>
      <c r="D85" s="304" t="s">
        <v>79</v>
      </c>
      <c r="E85" s="304"/>
      <c r="F85" s="304"/>
      <c r="G85" s="304"/>
      <c r="H85" s="304"/>
      <c r="I85" s="304"/>
      <c r="J85" s="47" t="s">
        <v>27</v>
      </c>
    </row>
    <row r="86" spans="1:10" ht="51" x14ac:dyDescent="0.25">
      <c r="A86" s="51" t="s">
        <v>80</v>
      </c>
      <c r="B86" s="52"/>
      <c r="C86" s="53" t="s">
        <v>81</v>
      </c>
      <c r="D86" s="54" t="s">
        <v>82</v>
      </c>
      <c r="E86" s="53" t="s">
        <v>52</v>
      </c>
      <c r="F86" s="53" t="s">
        <v>53</v>
      </c>
      <c r="G86" s="53" t="s">
        <v>54</v>
      </c>
      <c r="H86" s="55" t="s">
        <v>55</v>
      </c>
      <c r="I86" s="56" t="s">
        <v>56</v>
      </c>
      <c r="J86" s="47" t="s">
        <v>27</v>
      </c>
    </row>
    <row r="87" spans="1:10" x14ac:dyDescent="0.25">
      <c r="A87" s="57" t="s">
        <v>57</v>
      </c>
      <c r="B87" s="294" t="s">
        <v>235</v>
      </c>
      <c r="C87" s="295"/>
      <c r="D87" s="295" t="s">
        <v>79</v>
      </c>
      <c r="E87" s="296"/>
      <c r="F87" s="58"/>
      <c r="G87" s="59"/>
      <c r="H87" s="60"/>
      <c r="I87" s="61"/>
      <c r="J87" s="62" t="s">
        <v>27</v>
      </c>
    </row>
    <row r="88" spans="1:10" ht="30" x14ac:dyDescent="0.25">
      <c r="A88" s="57"/>
      <c r="B88" s="69"/>
      <c r="C88" s="63">
        <v>512</v>
      </c>
      <c r="D88" s="209" t="s">
        <v>164</v>
      </c>
      <c r="E88" s="70">
        <v>0</v>
      </c>
      <c r="F88" s="64">
        <v>0</v>
      </c>
      <c r="G88" s="65">
        <v>0</v>
      </c>
      <c r="H88" s="66">
        <v>0</v>
      </c>
      <c r="I88" s="67" t="e">
        <f>H88/G88</f>
        <v>#DIV/0!</v>
      </c>
      <c r="J88" s="62" t="s">
        <v>27</v>
      </c>
    </row>
    <row r="89" spans="1:10" x14ac:dyDescent="0.25">
      <c r="A89" s="57"/>
      <c r="B89" s="69"/>
      <c r="C89" s="63">
        <v>656</v>
      </c>
      <c r="D89" s="209" t="s">
        <v>380</v>
      </c>
      <c r="E89" s="70">
        <v>5</v>
      </c>
      <c r="F89" s="64">
        <v>5</v>
      </c>
      <c r="G89" s="65">
        <v>5</v>
      </c>
      <c r="H89" s="66">
        <v>5</v>
      </c>
      <c r="I89" s="67">
        <f>H89/G89</f>
        <v>1</v>
      </c>
      <c r="J89" s="62" t="s">
        <v>27</v>
      </c>
    </row>
    <row r="93" spans="1:10" ht="31.5" x14ac:dyDescent="0.25">
      <c r="A93" s="42" t="s">
        <v>29</v>
      </c>
      <c r="B93" s="43">
        <v>4260</v>
      </c>
      <c r="C93" s="44" t="s">
        <v>49</v>
      </c>
      <c r="D93" s="297" t="s">
        <v>98</v>
      </c>
      <c r="E93" s="298"/>
      <c r="F93" s="298"/>
      <c r="G93" s="298"/>
      <c r="H93" s="298"/>
      <c r="I93" s="299"/>
      <c r="J93" s="45" t="s">
        <v>45</v>
      </c>
    </row>
    <row r="94" spans="1:10" ht="15.75" x14ac:dyDescent="0.25">
      <c r="A94" s="46" t="s">
        <v>50</v>
      </c>
      <c r="B94" s="300" t="s">
        <v>236</v>
      </c>
      <c r="C94" s="301"/>
      <c r="D94" s="301"/>
      <c r="E94" s="301"/>
      <c r="F94" s="301"/>
      <c r="G94" s="301"/>
      <c r="H94" s="302"/>
      <c r="I94" s="303"/>
      <c r="J94" s="47" t="s">
        <v>39</v>
      </c>
    </row>
    <row r="95" spans="1:10" ht="15.75" x14ac:dyDescent="0.25">
      <c r="A95" s="48"/>
      <c r="B95" s="49"/>
      <c r="C95" s="50"/>
      <c r="D95" s="304" t="s">
        <v>79</v>
      </c>
      <c r="E95" s="304"/>
      <c r="F95" s="304"/>
      <c r="G95" s="304"/>
      <c r="H95" s="304"/>
      <c r="I95" s="304"/>
      <c r="J95" s="47" t="s">
        <v>27</v>
      </c>
    </row>
    <row r="96" spans="1:10" ht="51" x14ac:dyDescent="0.25">
      <c r="A96" s="51" t="s">
        <v>80</v>
      </c>
      <c r="B96" s="52"/>
      <c r="C96" s="53" t="s">
        <v>81</v>
      </c>
      <c r="D96" s="54" t="s">
        <v>82</v>
      </c>
      <c r="E96" s="53" t="s">
        <v>52</v>
      </c>
      <c r="F96" s="53" t="s">
        <v>53</v>
      </c>
      <c r="G96" s="53" t="s">
        <v>54</v>
      </c>
      <c r="H96" s="55" t="s">
        <v>55</v>
      </c>
      <c r="I96" s="56" t="s">
        <v>56</v>
      </c>
      <c r="J96" s="47" t="s">
        <v>27</v>
      </c>
    </row>
    <row r="97" spans="1:10" x14ac:dyDescent="0.25">
      <c r="A97" s="57" t="s">
        <v>57</v>
      </c>
      <c r="B97" s="294" t="s">
        <v>237</v>
      </c>
      <c r="C97" s="295"/>
      <c r="D97" s="295" t="s">
        <v>79</v>
      </c>
      <c r="E97" s="296"/>
      <c r="F97" s="58"/>
      <c r="G97" s="59"/>
      <c r="H97" s="60"/>
      <c r="I97" s="61"/>
      <c r="J97" s="62" t="s">
        <v>27</v>
      </c>
    </row>
    <row r="98" spans="1:10" x14ac:dyDescent="0.25">
      <c r="A98" s="57"/>
      <c r="B98" s="69"/>
      <c r="C98" s="63">
        <v>102</v>
      </c>
      <c r="D98" s="209" t="s">
        <v>166</v>
      </c>
      <c r="E98" s="70">
        <v>2.94</v>
      </c>
      <c r="F98" s="64">
        <v>2.67</v>
      </c>
      <c r="G98" s="64">
        <v>2.67</v>
      </c>
      <c r="H98" s="66">
        <v>3.67</v>
      </c>
      <c r="I98" s="67">
        <f t="shared" ref="I98:I105" si="4">H98/G98</f>
        <v>1.3745318352059925</v>
      </c>
      <c r="J98" s="62" t="s">
        <v>27</v>
      </c>
    </row>
    <row r="99" spans="1:10" x14ac:dyDescent="0.25">
      <c r="A99" s="57"/>
      <c r="B99" s="69"/>
      <c r="C99" s="63">
        <v>135</v>
      </c>
      <c r="D99" s="209" t="s">
        <v>167</v>
      </c>
      <c r="E99" s="70">
        <v>1.03</v>
      </c>
      <c r="F99" s="64">
        <v>0.87</v>
      </c>
      <c r="G99" s="64">
        <v>0.87</v>
      </c>
      <c r="H99" s="66">
        <v>1.2</v>
      </c>
      <c r="I99" s="67">
        <f t="shared" si="4"/>
        <v>1.3793103448275861</v>
      </c>
      <c r="J99" s="62" t="s">
        <v>27</v>
      </c>
    </row>
    <row r="100" spans="1:10" x14ac:dyDescent="0.25">
      <c r="A100" s="57"/>
      <c r="B100" s="69"/>
      <c r="C100" s="63">
        <v>136</v>
      </c>
      <c r="D100" s="209" t="s">
        <v>168</v>
      </c>
      <c r="E100" s="70">
        <v>0.35</v>
      </c>
      <c r="F100" s="64">
        <v>0.33</v>
      </c>
      <c r="G100" s="64">
        <v>0.33</v>
      </c>
      <c r="H100" s="66">
        <v>0.33</v>
      </c>
      <c r="I100" s="67">
        <f t="shared" si="4"/>
        <v>1</v>
      </c>
      <c r="J100" s="62" t="s">
        <v>27</v>
      </c>
    </row>
    <row r="101" spans="1:10" ht="30" x14ac:dyDescent="0.25">
      <c r="A101" s="57"/>
      <c r="B101" s="69"/>
      <c r="C101" s="63">
        <v>141</v>
      </c>
      <c r="D101" s="209" t="s">
        <v>449</v>
      </c>
      <c r="E101" s="70">
        <v>8300</v>
      </c>
      <c r="F101" s="64">
        <v>-14300</v>
      </c>
      <c r="G101" s="64">
        <v>-14300</v>
      </c>
      <c r="H101" s="66">
        <v>-12300</v>
      </c>
      <c r="I101" s="67">
        <f t="shared" si="4"/>
        <v>0.8601398601398601</v>
      </c>
      <c r="J101" s="62" t="s">
        <v>27</v>
      </c>
    </row>
    <row r="102" spans="1:10" x14ac:dyDescent="0.25">
      <c r="A102" s="57"/>
      <c r="B102" s="69"/>
      <c r="C102" s="63">
        <v>144</v>
      </c>
      <c r="D102" s="209" t="s">
        <v>382</v>
      </c>
      <c r="E102" s="70">
        <v>47</v>
      </c>
      <c r="F102" s="64">
        <v>40</v>
      </c>
      <c r="G102" s="64">
        <v>40</v>
      </c>
      <c r="H102" s="66">
        <v>55</v>
      </c>
      <c r="I102" s="67">
        <f t="shared" si="4"/>
        <v>1.375</v>
      </c>
      <c r="J102" s="62" t="s">
        <v>27</v>
      </c>
    </row>
    <row r="103" spans="1:10" s="208" customFormat="1" x14ac:dyDescent="0.25">
      <c r="A103" s="57"/>
      <c r="B103" s="69"/>
      <c r="C103" s="63">
        <v>75</v>
      </c>
      <c r="D103" s="209" t="s">
        <v>384</v>
      </c>
      <c r="E103" s="70">
        <v>18300</v>
      </c>
      <c r="F103" s="64">
        <v>4000</v>
      </c>
      <c r="G103" s="64">
        <v>4000</v>
      </c>
      <c r="H103" s="66">
        <v>6000</v>
      </c>
      <c r="I103" s="67">
        <f t="shared" ref="I103" si="5">H103/G103</f>
        <v>1.5</v>
      </c>
      <c r="J103" s="62" t="s">
        <v>27</v>
      </c>
    </row>
    <row r="104" spans="1:10" x14ac:dyDescent="0.25">
      <c r="A104" s="57"/>
      <c r="B104" s="69"/>
      <c r="C104" s="63">
        <v>209</v>
      </c>
      <c r="D104" s="209" t="s">
        <v>386</v>
      </c>
      <c r="E104" s="70">
        <v>10</v>
      </c>
      <c r="F104" s="64">
        <v>10</v>
      </c>
      <c r="G104" s="64">
        <v>10</v>
      </c>
      <c r="H104" s="66">
        <v>50</v>
      </c>
      <c r="I104" s="67">
        <f t="shared" si="4"/>
        <v>5</v>
      </c>
      <c r="J104" s="62" t="s">
        <v>27</v>
      </c>
    </row>
    <row r="105" spans="1:10" x14ac:dyDescent="0.25">
      <c r="A105" s="57"/>
      <c r="B105" s="69"/>
      <c r="C105" s="63">
        <v>533</v>
      </c>
      <c r="D105" s="209" t="s">
        <v>388</v>
      </c>
      <c r="E105" s="70">
        <v>16.5</v>
      </c>
      <c r="F105" s="64">
        <v>5</v>
      </c>
      <c r="G105" s="64">
        <v>5</v>
      </c>
      <c r="H105" s="66">
        <v>5</v>
      </c>
      <c r="I105" s="67">
        <f t="shared" si="4"/>
        <v>1</v>
      </c>
      <c r="J105" s="62" t="s">
        <v>27</v>
      </c>
    </row>
    <row r="109" spans="1:10" ht="31.5" x14ac:dyDescent="0.25">
      <c r="A109" s="42" t="s">
        <v>29</v>
      </c>
      <c r="B109" s="43">
        <v>4240</v>
      </c>
      <c r="C109" s="44" t="s">
        <v>49</v>
      </c>
      <c r="D109" s="297" t="s">
        <v>99</v>
      </c>
      <c r="E109" s="298"/>
      <c r="F109" s="298"/>
      <c r="G109" s="298"/>
      <c r="H109" s="298"/>
      <c r="I109" s="299"/>
      <c r="J109" s="45" t="s">
        <v>45</v>
      </c>
    </row>
    <row r="110" spans="1:10" ht="15.75" x14ac:dyDescent="0.25">
      <c r="A110" s="46" t="s">
        <v>50</v>
      </c>
      <c r="B110" s="300" t="s">
        <v>238</v>
      </c>
      <c r="C110" s="301"/>
      <c r="D110" s="301"/>
      <c r="E110" s="301"/>
      <c r="F110" s="301"/>
      <c r="G110" s="301"/>
      <c r="H110" s="302"/>
      <c r="I110" s="303"/>
      <c r="J110" s="47" t="s">
        <v>39</v>
      </c>
    </row>
    <row r="111" spans="1:10" ht="15.75" x14ac:dyDescent="0.25">
      <c r="A111" s="48"/>
      <c r="B111" s="49"/>
      <c r="C111" s="50"/>
      <c r="D111" s="304" t="s">
        <v>79</v>
      </c>
      <c r="E111" s="304"/>
      <c r="F111" s="304"/>
      <c r="G111" s="304"/>
      <c r="H111" s="304"/>
      <c r="I111" s="304"/>
      <c r="J111" s="47" t="s">
        <v>27</v>
      </c>
    </row>
    <row r="112" spans="1:10" ht="51" x14ac:dyDescent="0.25">
      <c r="A112" s="51" t="s">
        <v>80</v>
      </c>
      <c r="B112" s="52"/>
      <c r="C112" s="53" t="s">
        <v>81</v>
      </c>
      <c r="D112" s="54" t="s">
        <v>82</v>
      </c>
      <c r="E112" s="53" t="s">
        <v>52</v>
      </c>
      <c r="F112" s="53" t="s">
        <v>53</v>
      </c>
      <c r="G112" s="53" t="s">
        <v>54</v>
      </c>
      <c r="H112" s="55" t="s">
        <v>55</v>
      </c>
      <c r="I112" s="56" t="s">
        <v>56</v>
      </c>
      <c r="J112" s="47" t="s">
        <v>27</v>
      </c>
    </row>
    <row r="113" spans="1:10" x14ac:dyDescent="0.25">
      <c r="A113" s="57" t="s">
        <v>57</v>
      </c>
      <c r="B113" s="294" t="s">
        <v>239</v>
      </c>
      <c r="C113" s="295"/>
      <c r="D113" s="295" t="s">
        <v>79</v>
      </c>
      <c r="E113" s="296"/>
      <c r="F113" s="58"/>
      <c r="G113" s="59"/>
      <c r="H113" s="60"/>
      <c r="I113" s="61"/>
      <c r="J113" s="62" t="s">
        <v>27</v>
      </c>
    </row>
    <row r="114" spans="1:10" ht="30" x14ac:dyDescent="0.25">
      <c r="A114" s="57"/>
      <c r="B114" s="69"/>
      <c r="C114" s="63">
        <v>108</v>
      </c>
      <c r="D114" s="209" t="s">
        <v>170</v>
      </c>
      <c r="E114" s="70">
        <v>60</v>
      </c>
      <c r="F114" s="64">
        <v>70</v>
      </c>
      <c r="G114" s="64">
        <v>70</v>
      </c>
      <c r="H114" s="66">
        <v>60</v>
      </c>
      <c r="I114" s="67">
        <f t="shared" ref="I114:I120" si="6">H114/G114</f>
        <v>0.8571428571428571</v>
      </c>
      <c r="J114" s="62" t="s">
        <v>27</v>
      </c>
    </row>
    <row r="115" spans="1:10" ht="30" x14ac:dyDescent="0.25">
      <c r="A115" s="57"/>
      <c r="B115" s="69"/>
      <c r="C115" s="63">
        <v>113</v>
      </c>
      <c r="D115" s="209" t="s">
        <v>171</v>
      </c>
      <c r="E115" s="70">
        <v>45.55</v>
      </c>
      <c r="F115" s="64">
        <v>48.6</v>
      </c>
      <c r="G115" s="64">
        <v>48.6</v>
      </c>
      <c r="H115" s="66">
        <v>48.6</v>
      </c>
      <c r="I115" s="67">
        <f t="shared" si="6"/>
        <v>1</v>
      </c>
      <c r="J115" s="62" t="s">
        <v>27</v>
      </c>
    </row>
    <row r="116" spans="1:10" x14ac:dyDescent="0.25">
      <c r="A116" s="57"/>
      <c r="B116" s="69"/>
      <c r="C116" s="63">
        <v>132</v>
      </c>
      <c r="D116" s="209" t="s">
        <v>172</v>
      </c>
      <c r="E116" s="70">
        <v>47.3</v>
      </c>
      <c r="F116" s="64">
        <v>49.05</v>
      </c>
      <c r="G116" s="64">
        <v>49.05</v>
      </c>
      <c r="H116" s="66">
        <v>47.3</v>
      </c>
      <c r="I116" s="67">
        <f t="shared" si="6"/>
        <v>0.96432212028542308</v>
      </c>
      <c r="J116" s="62" t="s">
        <v>27</v>
      </c>
    </row>
    <row r="117" spans="1:10" x14ac:dyDescent="0.25">
      <c r="A117" s="57"/>
      <c r="B117" s="69"/>
      <c r="C117" s="63">
        <v>60</v>
      </c>
      <c r="D117" s="209" t="s">
        <v>390</v>
      </c>
      <c r="E117" s="70">
        <v>3450</v>
      </c>
      <c r="F117" s="64">
        <v>3450</v>
      </c>
      <c r="G117" s="64">
        <v>3450</v>
      </c>
      <c r="H117" s="66">
        <v>3450</v>
      </c>
      <c r="I117" s="67">
        <f t="shared" si="6"/>
        <v>1</v>
      </c>
      <c r="J117" s="62" t="s">
        <v>27</v>
      </c>
    </row>
    <row r="118" spans="1:10" s="208" customFormat="1" x14ac:dyDescent="0.25">
      <c r="A118" s="57"/>
      <c r="B118" s="69"/>
      <c r="C118" s="63">
        <v>425</v>
      </c>
      <c r="D118" s="209" t="s">
        <v>392</v>
      </c>
      <c r="E118" s="70">
        <v>1300</v>
      </c>
      <c r="F118" s="64">
        <v>1387</v>
      </c>
      <c r="G118" s="64">
        <v>1387</v>
      </c>
      <c r="H118" s="66">
        <v>1387</v>
      </c>
      <c r="I118" s="67">
        <f t="shared" ref="I118" si="7">H118/G118</f>
        <v>1</v>
      </c>
      <c r="J118" s="62" t="s">
        <v>27</v>
      </c>
    </row>
    <row r="119" spans="1:10" x14ac:dyDescent="0.25">
      <c r="A119" s="57"/>
      <c r="B119" s="69"/>
      <c r="C119" s="63">
        <v>106</v>
      </c>
      <c r="D119" s="209" t="s">
        <v>394</v>
      </c>
      <c r="E119" s="70">
        <v>60</v>
      </c>
      <c r="F119" s="64">
        <v>70</v>
      </c>
      <c r="G119" s="64">
        <v>70</v>
      </c>
      <c r="H119" s="66">
        <v>60</v>
      </c>
      <c r="I119" s="67">
        <f t="shared" si="6"/>
        <v>0.8571428571428571</v>
      </c>
      <c r="J119" s="62" t="s">
        <v>27</v>
      </c>
    </row>
    <row r="120" spans="1:10" x14ac:dyDescent="0.25">
      <c r="A120" s="57"/>
      <c r="B120" s="69"/>
      <c r="C120" s="63">
        <v>569</v>
      </c>
      <c r="D120" s="209" t="s">
        <v>396</v>
      </c>
      <c r="E120" s="70">
        <v>1350</v>
      </c>
      <c r="F120" s="64">
        <v>1400</v>
      </c>
      <c r="G120" s="64">
        <v>1400</v>
      </c>
      <c r="H120" s="66">
        <v>1350</v>
      </c>
      <c r="I120" s="67">
        <f t="shared" si="6"/>
        <v>0.9642857142857143</v>
      </c>
      <c r="J120" s="62" t="s">
        <v>27</v>
      </c>
    </row>
    <row r="124" spans="1:10" ht="31.5" x14ac:dyDescent="0.25">
      <c r="A124" s="42" t="s">
        <v>29</v>
      </c>
      <c r="B124" s="43">
        <v>4520</v>
      </c>
      <c r="C124" s="44" t="s">
        <v>49</v>
      </c>
      <c r="D124" s="297" t="s">
        <v>100</v>
      </c>
      <c r="E124" s="298"/>
      <c r="F124" s="298"/>
      <c r="G124" s="298"/>
      <c r="H124" s="298"/>
      <c r="I124" s="299"/>
      <c r="J124" s="45" t="s">
        <v>45</v>
      </c>
    </row>
    <row r="125" spans="1:10" ht="15.75" x14ac:dyDescent="0.25">
      <c r="A125" s="46" t="s">
        <v>50</v>
      </c>
      <c r="B125" s="300" t="s">
        <v>240</v>
      </c>
      <c r="C125" s="301"/>
      <c r="D125" s="301"/>
      <c r="E125" s="301"/>
      <c r="F125" s="301"/>
      <c r="G125" s="301"/>
      <c r="H125" s="302"/>
      <c r="I125" s="303"/>
      <c r="J125" s="47" t="s">
        <v>39</v>
      </c>
    </row>
    <row r="126" spans="1:10" ht="15.75" x14ac:dyDescent="0.25">
      <c r="A126" s="48"/>
      <c r="B126" s="49"/>
      <c r="C126" s="50"/>
      <c r="D126" s="304" t="s">
        <v>79</v>
      </c>
      <c r="E126" s="304"/>
      <c r="F126" s="304"/>
      <c r="G126" s="304"/>
      <c r="H126" s="304"/>
      <c r="I126" s="304"/>
      <c r="J126" s="47" t="s">
        <v>27</v>
      </c>
    </row>
    <row r="127" spans="1:10" ht="51" x14ac:dyDescent="0.25">
      <c r="A127" s="51" t="s">
        <v>80</v>
      </c>
      <c r="B127" s="52"/>
      <c r="C127" s="53" t="s">
        <v>81</v>
      </c>
      <c r="D127" s="54" t="s">
        <v>82</v>
      </c>
      <c r="E127" s="53" t="s">
        <v>52</v>
      </c>
      <c r="F127" s="53" t="s">
        <v>53</v>
      </c>
      <c r="G127" s="53" t="s">
        <v>54</v>
      </c>
      <c r="H127" s="55" t="s">
        <v>55</v>
      </c>
      <c r="I127" s="56" t="s">
        <v>56</v>
      </c>
      <c r="J127" s="47" t="s">
        <v>27</v>
      </c>
    </row>
    <row r="128" spans="1:10" x14ac:dyDescent="0.25">
      <c r="A128" s="57" t="s">
        <v>57</v>
      </c>
      <c r="B128" s="294" t="s">
        <v>241</v>
      </c>
      <c r="C128" s="295"/>
      <c r="D128" s="295" t="s">
        <v>79</v>
      </c>
      <c r="E128" s="296"/>
      <c r="F128" s="58"/>
      <c r="G128" s="59"/>
      <c r="H128" s="60"/>
      <c r="I128" s="61"/>
      <c r="J128" s="62" t="s">
        <v>27</v>
      </c>
    </row>
    <row r="129" spans="1:10" x14ac:dyDescent="0.25">
      <c r="A129" s="57"/>
      <c r="B129" s="69"/>
      <c r="C129" s="63">
        <v>158</v>
      </c>
      <c r="D129" s="209" t="s">
        <v>174</v>
      </c>
      <c r="E129" s="70">
        <v>57.88</v>
      </c>
      <c r="F129" s="64">
        <v>57.88</v>
      </c>
      <c r="G129" s="64">
        <v>57.88</v>
      </c>
      <c r="H129" s="66">
        <v>61.09</v>
      </c>
      <c r="I129" s="67">
        <f t="shared" ref="I129:I136" si="8">H129/G129</f>
        <v>1.0554595715272979</v>
      </c>
      <c r="J129" s="62" t="s">
        <v>27</v>
      </c>
    </row>
    <row r="130" spans="1:10" ht="30" x14ac:dyDescent="0.25">
      <c r="A130" s="57"/>
      <c r="B130" s="69"/>
      <c r="C130" s="63">
        <v>167</v>
      </c>
      <c r="D130" s="209" t="s">
        <v>175</v>
      </c>
      <c r="E130" s="70">
        <v>31453.4</v>
      </c>
      <c r="F130" s="64">
        <v>38472.699999999997</v>
      </c>
      <c r="G130" s="64">
        <v>38472.699999999997</v>
      </c>
      <c r="H130" s="66">
        <v>29141.5</v>
      </c>
      <c r="I130" s="67">
        <f t="shared" si="8"/>
        <v>0.75745918534441314</v>
      </c>
      <c r="J130" s="62" t="s">
        <v>27</v>
      </c>
    </row>
    <row r="131" spans="1:10" x14ac:dyDescent="0.25">
      <c r="A131" s="57"/>
      <c r="B131" s="69"/>
      <c r="C131" s="63">
        <v>632</v>
      </c>
      <c r="D131" s="209" t="s">
        <v>176</v>
      </c>
      <c r="E131" s="70">
        <v>0</v>
      </c>
      <c r="F131" s="64">
        <v>0</v>
      </c>
      <c r="G131" s="64">
        <v>0</v>
      </c>
      <c r="H131" s="66">
        <v>0</v>
      </c>
      <c r="I131" s="67" t="e">
        <f t="shared" si="8"/>
        <v>#DIV/0!</v>
      </c>
      <c r="J131" s="62" t="s">
        <v>27</v>
      </c>
    </row>
    <row r="132" spans="1:10" x14ac:dyDescent="0.25">
      <c r="A132" s="57"/>
      <c r="B132" s="69"/>
      <c r="C132" s="63">
        <v>371</v>
      </c>
      <c r="D132" s="209" t="s">
        <v>398</v>
      </c>
      <c r="E132" s="70">
        <v>180</v>
      </c>
      <c r="F132" s="64">
        <v>180</v>
      </c>
      <c r="G132" s="64">
        <v>180</v>
      </c>
      <c r="H132" s="66">
        <v>190</v>
      </c>
      <c r="I132" s="67">
        <f t="shared" si="8"/>
        <v>1.0555555555555556</v>
      </c>
      <c r="J132" s="62" t="s">
        <v>27</v>
      </c>
    </row>
    <row r="133" spans="1:10" x14ac:dyDescent="0.25">
      <c r="A133" s="57"/>
      <c r="B133" s="69"/>
      <c r="C133" s="63">
        <v>278</v>
      </c>
      <c r="D133" s="209" t="s">
        <v>400</v>
      </c>
      <c r="E133" s="70">
        <v>5</v>
      </c>
      <c r="F133" s="64">
        <v>10</v>
      </c>
      <c r="G133" s="64">
        <v>10</v>
      </c>
      <c r="H133" s="66">
        <v>0</v>
      </c>
      <c r="I133" s="67">
        <f t="shared" si="8"/>
        <v>0</v>
      </c>
      <c r="J133" s="62" t="s">
        <v>27</v>
      </c>
    </row>
    <row r="134" spans="1:10" s="208" customFormat="1" x14ac:dyDescent="0.25">
      <c r="A134" s="57" t="s">
        <v>83</v>
      </c>
      <c r="B134" s="294" t="s">
        <v>242</v>
      </c>
      <c r="C134" s="295"/>
      <c r="D134" s="295" t="s">
        <v>79</v>
      </c>
      <c r="E134" s="296"/>
      <c r="F134" s="58"/>
      <c r="G134" s="59"/>
      <c r="H134" s="60"/>
      <c r="I134" s="61"/>
      <c r="J134" s="62" t="s">
        <v>27</v>
      </c>
    </row>
    <row r="135" spans="1:10" x14ac:dyDescent="0.25">
      <c r="A135" s="57"/>
      <c r="B135" s="69"/>
      <c r="C135" s="63">
        <v>675</v>
      </c>
      <c r="D135" s="209" t="s">
        <v>450</v>
      </c>
      <c r="E135" s="70">
        <v>2</v>
      </c>
      <c r="F135" s="64">
        <v>6</v>
      </c>
      <c r="G135" s="64">
        <v>6</v>
      </c>
      <c r="H135" s="66">
        <v>2</v>
      </c>
      <c r="I135" s="67">
        <f t="shared" si="8"/>
        <v>0.33333333333333331</v>
      </c>
      <c r="J135" s="62" t="s">
        <v>27</v>
      </c>
    </row>
    <row r="136" spans="1:10" x14ac:dyDescent="0.25">
      <c r="A136" s="57"/>
      <c r="B136" s="69"/>
      <c r="C136" s="63">
        <v>677</v>
      </c>
      <c r="D136" s="209" t="s">
        <v>451</v>
      </c>
      <c r="E136" s="70">
        <v>2</v>
      </c>
      <c r="F136" s="64">
        <v>6</v>
      </c>
      <c r="G136" s="64">
        <v>6</v>
      </c>
      <c r="H136" s="66">
        <v>6</v>
      </c>
      <c r="I136" s="67">
        <f t="shared" si="8"/>
        <v>1</v>
      </c>
      <c r="J136" s="62" t="s">
        <v>27</v>
      </c>
    </row>
    <row r="140" spans="1:10" ht="31.5" x14ac:dyDescent="0.25">
      <c r="A140" s="42" t="s">
        <v>29</v>
      </c>
      <c r="B140" s="43">
        <v>5100</v>
      </c>
      <c r="C140" s="44" t="s">
        <v>49</v>
      </c>
      <c r="D140" s="297" t="s">
        <v>101</v>
      </c>
      <c r="E140" s="298"/>
      <c r="F140" s="298"/>
      <c r="G140" s="298"/>
      <c r="H140" s="298"/>
      <c r="I140" s="299"/>
      <c r="J140" s="45" t="s">
        <v>45</v>
      </c>
    </row>
    <row r="141" spans="1:10" ht="15.75" x14ac:dyDescent="0.25">
      <c r="A141" s="46" t="s">
        <v>50</v>
      </c>
      <c r="B141" s="300" t="s">
        <v>243</v>
      </c>
      <c r="C141" s="301"/>
      <c r="D141" s="301"/>
      <c r="E141" s="301"/>
      <c r="F141" s="301"/>
      <c r="G141" s="301"/>
      <c r="H141" s="302"/>
      <c r="I141" s="303"/>
      <c r="J141" s="47" t="s">
        <v>39</v>
      </c>
    </row>
    <row r="142" spans="1:10" ht="15.75" x14ac:dyDescent="0.25">
      <c r="A142" s="48"/>
      <c r="B142" s="49"/>
      <c r="C142" s="50"/>
      <c r="D142" s="304" t="s">
        <v>79</v>
      </c>
      <c r="E142" s="304"/>
      <c r="F142" s="304"/>
      <c r="G142" s="304"/>
      <c r="H142" s="304"/>
      <c r="I142" s="304"/>
      <c r="J142" s="47" t="s">
        <v>27</v>
      </c>
    </row>
    <row r="143" spans="1:10" x14ac:dyDescent="0.25">
      <c r="A143" s="51" t="s">
        <v>80</v>
      </c>
      <c r="B143" s="52"/>
      <c r="C143" s="53" t="s">
        <v>81</v>
      </c>
      <c r="D143" s="54" t="s">
        <v>82</v>
      </c>
      <c r="E143" s="53" t="s">
        <v>52</v>
      </c>
      <c r="F143" s="53" t="s">
        <v>53</v>
      </c>
      <c r="G143" s="53" t="s">
        <v>54</v>
      </c>
      <c r="H143" s="55" t="s">
        <v>55</v>
      </c>
      <c r="I143" s="56" t="s">
        <v>56</v>
      </c>
      <c r="J143" s="47" t="s">
        <v>27</v>
      </c>
    </row>
    <row r="144" spans="1:10" x14ac:dyDescent="0.25">
      <c r="A144" s="57" t="s">
        <v>57</v>
      </c>
      <c r="B144" s="294" t="s">
        <v>244</v>
      </c>
      <c r="C144" s="295"/>
      <c r="D144" s="295" t="s">
        <v>79</v>
      </c>
      <c r="E144" s="296"/>
      <c r="F144" s="58"/>
      <c r="G144" s="59"/>
      <c r="H144" s="60"/>
      <c r="I144" s="61"/>
      <c r="J144" s="62" t="s">
        <v>27</v>
      </c>
    </row>
    <row r="145" spans="1:10" ht="30" x14ac:dyDescent="0.25">
      <c r="A145" s="57"/>
      <c r="B145" s="69"/>
      <c r="C145" s="63">
        <v>208</v>
      </c>
      <c r="D145" s="209" t="s">
        <v>179</v>
      </c>
      <c r="E145" s="70">
        <v>58.76</v>
      </c>
      <c r="F145" s="64">
        <v>58.06</v>
      </c>
      <c r="G145" s="64">
        <v>58.06</v>
      </c>
      <c r="H145" s="66">
        <v>58.44</v>
      </c>
      <c r="I145" s="67">
        <f t="shared" ref="I145:I149" si="9">H145/G145</f>
        <v>1.0065449534963831</v>
      </c>
      <c r="J145" s="62" t="s">
        <v>27</v>
      </c>
    </row>
    <row r="146" spans="1:10" ht="30" x14ac:dyDescent="0.25">
      <c r="A146" s="57"/>
      <c r="B146" s="69"/>
      <c r="C146" s="63">
        <v>670</v>
      </c>
      <c r="D146" s="209" t="s">
        <v>180</v>
      </c>
      <c r="E146" s="70">
        <v>32.1</v>
      </c>
      <c r="F146" s="64">
        <v>32.1</v>
      </c>
      <c r="G146" s="64">
        <v>32.1</v>
      </c>
      <c r="H146" s="66">
        <v>32.1</v>
      </c>
      <c r="I146" s="67">
        <f t="shared" si="9"/>
        <v>1</v>
      </c>
      <c r="J146" s="62" t="s">
        <v>27</v>
      </c>
    </row>
    <row r="147" spans="1:10" x14ac:dyDescent="0.25">
      <c r="A147" s="57"/>
      <c r="B147" s="69"/>
      <c r="C147" s="63">
        <v>747</v>
      </c>
      <c r="D147" s="209" t="s">
        <v>401</v>
      </c>
      <c r="E147" s="70">
        <v>156</v>
      </c>
      <c r="F147" s="64">
        <v>156</v>
      </c>
      <c r="G147" s="65">
        <v>156</v>
      </c>
      <c r="H147" s="66">
        <v>156</v>
      </c>
      <c r="I147" s="67">
        <f t="shared" si="9"/>
        <v>1</v>
      </c>
      <c r="J147" s="62" t="s">
        <v>27</v>
      </c>
    </row>
    <row r="148" spans="1:10" x14ac:dyDescent="0.25">
      <c r="A148" s="57"/>
      <c r="B148" s="69"/>
      <c r="C148" s="63">
        <v>338</v>
      </c>
      <c r="D148" s="209" t="s">
        <v>402</v>
      </c>
      <c r="E148" s="70">
        <v>9000</v>
      </c>
      <c r="F148" s="64">
        <v>9000</v>
      </c>
      <c r="G148" s="65">
        <v>9000</v>
      </c>
      <c r="H148" s="66">
        <v>9000</v>
      </c>
      <c r="I148" s="67">
        <f t="shared" si="9"/>
        <v>1</v>
      </c>
      <c r="J148" s="62" t="s">
        <v>27</v>
      </c>
    </row>
    <row r="149" spans="1:10" x14ac:dyDescent="0.25">
      <c r="A149" s="57"/>
      <c r="B149" s="69"/>
      <c r="C149" s="63">
        <v>150</v>
      </c>
      <c r="D149" s="209" t="s">
        <v>403</v>
      </c>
      <c r="E149" s="70">
        <v>17</v>
      </c>
      <c r="F149" s="64">
        <v>50</v>
      </c>
      <c r="G149" s="65">
        <v>50</v>
      </c>
      <c r="H149" s="66">
        <v>0</v>
      </c>
      <c r="I149" s="67">
        <f t="shared" si="9"/>
        <v>0</v>
      </c>
      <c r="J149" s="62" t="s">
        <v>27</v>
      </c>
    </row>
    <row r="153" spans="1:10" ht="31.5" x14ac:dyDescent="0.25">
      <c r="A153" s="42" t="s">
        <v>29</v>
      </c>
      <c r="B153" s="43">
        <v>6260</v>
      </c>
      <c r="C153" s="44" t="s">
        <v>49</v>
      </c>
      <c r="D153" s="297" t="s">
        <v>102</v>
      </c>
      <c r="E153" s="298"/>
      <c r="F153" s="298"/>
      <c r="G153" s="298"/>
      <c r="H153" s="298"/>
      <c r="I153" s="299"/>
      <c r="J153" s="45" t="s">
        <v>45</v>
      </c>
    </row>
    <row r="154" spans="1:10" ht="15.75" x14ac:dyDescent="0.25">
      <c r="A154" s="46" t="s">
        <v>50</v>
      </c>
      <c r="B154" s="300" t="s">
        <v>245</v>
      </c>
      <c r="C154" s="301"/>
      <c r="D154" s="301"/>
      <c r="E154" s="301"/>
      <c r="F154" s="301"/>
      <c r="G154" s="301"/>
      <c r="H154" s="302"/>
      <c r="I154" s="303"/>
      <c r="J154" s="47" t="s">
        <v>39</v>
      </c>
    </row>
    <row r="155" spans="1:10" ht="15.75" x14ac:dyDescent="0.25">
      <c r="A155" s="48"/>
      <c r="B155" s="49"/>
      <c r="C155" s="50"/>
      <c r="D155" s="304" t="s">
        <v>79</v>
      </c>
      <c r="E155" s="304"/>
      <c r="F155" s="304"/>
      <c r="G155" s="304"/>
      <c r="H155" s="304"/>
      <c r="I155" s="304"/>
      <c r="J155" s="47" t="s">
        <v>27</v>
      </c>
    </row>
    <row r="156" spans="1:10" ht="51" x14ac:dyDescent="0.25">
      <c r="A156" s="51" t="s">
        <v>80</v>
      </c>
      <c r="B156" s="52"/>
      <c r="C156" s="53" t="s">
        <v>81</v>
      </c>
      <c r="D156" s="54" t="s">
        <v>82</v>
      </c>
      <c r="E156" s="53" t="s">
        <v>52</v>
      </c>
      <c r="F156" s="53" t="s">
        <v>53</v>
      </c>
      <c r="G156" s="53" t="s">
        <v>54</v>
      </c>
      <c r="H156" s="55" t="s">
        <v>55</v>
      </c>
      <c r="I156" s="56" t="s">
        <v>56</v>
      </c>
      <c r="J156" s="47" t="s">
        <v>27</v>
      </c>
    </row>
    <row r="157" spans="1:10" x14ac:dyDescent="0.25">
      <c r="A157" s="57" t="s">
        <v>57</v>
      </c>
      <c r="B157" s="294" t="s">
        <v>246</v>
      </c>
      <c r="C157" s="295"/>
      <c r="D157" s="295" t="s">
        <v>79</v>
      </c>
      <c r="E157" s="296"/>
      <c r="F157" s="58"/>
      <c r="G157" s="59"/>
      <c r="H157" s="60"/>
      <c r="I157" s="61"/>
      <c r="J157" s="62" t="s">
        <v>27</v>
      </c>
    </row>
    <row r="158" spans="1:10" x14ac:dyDescent="0.25">
      <c r="A158" s="57"/>
      <c r="B158" s="69"/>
      <c r="C158" s="63">
        <v>232</v>
      </c>
      <c r="D158" s="209" t="s">
        <v>182</v>
      </c>
      <c r="E158" s="70">
        <v>36.76</v>
      </c>
      <c r="F158" s="64">
        <v>36.5</v>
      </c>
      <c r="G158" s="64">
        <v>36.5</v>
      </c>
      <c r="H158" s="66">
        <v>37.5</v>
      </c>
      <c r="I158" s="67">
        <f t="shared" ref="I158:I165" si="10">H158/G158</f>
        <v>1.0273972602739727</v>
      </c>
      <c r="J158" s="62" t="s">
        <v>27</v>
      </c>
    </row>
    <row r="159" spans="1:10" x14ac:dyDescent="0.25">
      <c r="A159" s="57"/>
      <c r="B159" s="69"/>
      <c r="C159" s="63">
        <v>662</v>
      </c>
      <c r="D159" s="209" t="s">
        <v>452</v>
      </c>
      <c r="E159" s="70">
        <v>0.3</v>
      </c>
      <c r="F159" s="64">
        <v>0</v>
      </c>
      <c r="G159" s="64">
        <v>0</v>
      </c>
      <c r="H159" s="66">
        <v>1.5</v>
      </c>
      <c r="I159" s="67" t="e">
        <f t="shared" si="10"/>
        <v>#DIV/0!</v>
      </c>
      <c r="J159" s="62" t="s">
        <v>27</v>
      </c>
    </row>
    <row r="160" spans="1:10" x14ac:dyDescent="0.25">
      <c r="A160" s="57"/>
      <c r="B160" s="69"/>
      <c r="C160" s="63">
        <v>663</v>
      </c>
      <c r="D160" s="209" t="s">
        <v>183</v>
      </c>
      <c r="E160" s="70">
        <v>0.25</v>
      </c>
      <c r="F160" s="64">
        <v>0.25</v>
      </c>
      <c r="G160" s="64">
        <v>0.25</v>
      </c>
      <c r="H160" s="66">
        <v>0.26</v>
      </c>
      <c r="I160" s="67">
        <f t="shared" si="10"/>
        <v>1.04</v>
      </c>
      <c r="J160" s="62" t="s">
        <v>27</v>
      </c>
    </row>
    <row r="161" spans="1:10" x14ac:dyDescent="0.25">
      <c r="A161" s="57"/>
      <c r="B161" s="69"/>
      <c r="C161" s="63">
        <v>314</v>
      </c>
      <c r="D161" s="209" t="s">
        <v>408</v>
      </c>
      <c r="E161" s="70">
        <v>100</v>
      </c>
      <c r="F161" s="64">
        <v>3500</v>
      </c>
      <c r="G161" s="64">
        <v>3500</v>
      </c>
      <c r="H161" s="66">
        <v>3500</v>
      </c>
      <c r="I161" s="67">
        <f t="shared" si="10"/>
        <v>1</v>
      </c>
      <c r="J161" s="62" t="s">
        <v>27</v>
      </c>
    </row>
    <row r="162" spans="1:10" x14ac:dyDescent="0.25">
      <c r="A162" s="57"/>
      <c r="B162" s="69"/>
      <c r="C162" s="63">
        <v>471</v>
      </c>
      <c r="D162" s="209" t="s">
        <v>410</v>
      </c>
      <c r="E162" s="70">
        <v>2000</v>
      </c>
      <c r="F162" s="64">
        <v>2000</v>
      </c>
      <c r="G162" s="64">
        <v>2000</v>
      </c>
      <c r="H162" s="66">
        <v>2500</v>
      </c>
      <c r="I162" s="67">
        <f t="shared" si="10"/>
        <v>1.25</v>
      </c>
      <c r="J162" s="62" t="s">
        <v>27</v>
      </c>
    </row>
    <row r="163" spans="1:10" x14ac:dyDescent="0.25">
      <c r="A163" s="57"/>
      <c r="B163" s="69"/>
      <c r="C163" s="63">
        <v>432</v>
      </c>
      <c r="D163" s="209" t="s">
        <v>412</v>
      </c>
      <c r="E163" s="70">
        <v>1400</v>
      </c>
      <c r="F163" s="64">
        <v>1390</v>
      </c>
      <c r="G163" s="64">
        <v>1390</v>
      </c>
      <c r="H163" s="66">
        <v>1500</v>
      </c>
      <c r="I163" s="67">
        <f t="shared" si="10"/>
        <v>1.079136690647482</v>
      </c>
      <c r="J163" s="62" t="s">
        <v>27</v>
      </c>
    </row>
    <row r="164" spans="1:10" x14ac:dyDescent="0.25">
      <c r="A164" s="57"/>
      <c r="B164" s="69"/>
      <c r="C164" s="63">
        <v>571</v>
      </c>
      <c r="D164" s="209" t="s">
        <v>414</v>
      </c>
      <c r="E164" s="70">
        <v>6</v>
      </c>
      <c r="F164" s="64">
        <v>3</v>
      </c>
      <c r="G164" s="64">
        <v>3</v>
      </c>
      <c r="H164" s="66">
        <v>0</v>
      </c>
      <c r="I164" s="67">
        <f t="shared" si="10"/>
        <v>0</v>
      </c>
      <c r="J164" s="62" t="s">
        <v>27</v>
      </c>
    </row>
    <row r="165" spans="1:10" x14ac:dyDescent="0.25">
      <c r="A165" s="57"/>
      <c r="B165" s="69"/>
      <c r="C165" s="63">
        <v>572</v>
      </c>
      <c r="D165" s="209" t="s">
        <v>416</v>
      </c>
      <c r="E165" s="70">
        <v>300</v>
      </c>
      <c r="F165" s="64">
        <v>300</v>
      </c>
      <c r="G165" s="64">
        <v>300</v>
      </c>
      <c r="H165" s="66">
        <v>1000</v>
      </c>
      <c r="I165" s="67">
        <f t="shared" si="10"/>
        <v>3.3333333333333335</v>
      </c>
      <c r="J165" s="62" t="s">
        <v>27</v>
      </c>
    </row>
    <row r="169" spans="1:10" ht="31.5" x14ac:dyDescent="0.25">
      <c r="A169" s="42" t="s">
        <v>29</v>
      </c>
      <c r="B169" s="43">
        <v>6330</v>
      </c>
      <c r="C169" s="44" t="s">
        <v>49</v>
      </c>
      <c r="D169" s="297" t="s">
        <v>103</v>
      </c>
      <c r="E169" s="298"/>
      <c r="F169" s="298"/>
      <c r="G169" s="298"/>
      <c r="H169" s="298"/>
      <c r="I169" s="299"/>
      <c r="J169" s="45" t="s">
        <v>45</v>
      </c>
    </row>
    <row r="170" spans="1:10" ht="15.75" x14ac:dyDescent="0.25">
      <c r="A170" s="46" t="s">
        <v>50</v>
      </c>
      <c r="B170" s="300" t="s">
        <v>247</v>
      </c>
      <c r="C170" s="301"/>
      <c r="D170" s="301"/>
      <c r="E170" s="301"/>
      <c r="F170" s="301"/>
      <c r="G170" s="301"/>
      <c r="H170" s="302"/>
      <c r="I170" s="303"/>
      <c r="J170" s="47" t="s">
        <v>39</v>
      </c>
    </row>
    <row r="171" spans="1:10" ht="15.75" x14ac:dyDescent="0.25">
      <c r="A171" s="48"/>
      <c r="B171" s="49"/>
      <c r="C171" s="50"/>
      <c r="D171" s="304" t="s">
        <v>79</v>
      </c>
      <c r="E171" s="304"/>
      <c r="F171" s="304"/>
      <c r="G171" s="304"/>
      <c r="H171" s="304"/>
      <c r="I171" s="304"/>
      <c r="J171" s="47" t="s">
        <v>27</v>
      </c>
    </row>
    <row r="172" spans="1:10" ht="51" x14ac:dyDescent="0.25">
      <c r="A172" s="51" t="s">
        <v>80</v>
      </c>
      <c r="B172" s="52"/>
      <c r="C172" s="53" t="s">
        <v>81</v>
      </c>
      <c r="D172" s="54" t="s">
        <v>82</v>
      </c>
      <c r="E172" s="53" t="s">
        <v>52</v>
      </c>
      <c r="F172" s="53" t="s">
        <v>53</v>
      </c>
      <c r="G172" s="53" t="s">
        <v>54</v>
      </c>
      <c r="H172" s="55" t="s">
        <v>55</v>
      </c>
      <c r="I172" s="56" t="s">
        <v>56</v>
      </c>
      <c r="J172" s="47" t="s">
        <v>27</v>
      </c>
    </row>
    <row r="173" spans="1:10" x14ac:dyDescent="0.25">
      <c r="A173" s="57" t="s">
        <v>57</v>
      </c>
      <c r="B173" s="294" t="s">
        <v>248</v>
      </c>
      <c r="C173" s="295"/>
      <c r="D173" s="295" t="s">
        <v>79</v>
      </c>
      <c r="E173" s="296"/>
      <c r="F173" s="58"/>
      <c r="G173" s="59"/>
      <c r="H173" s="60"/>
      <c r="I173" s="61"/>
      <c r="J173" s="62" t="s">
        <v>27</v>
      </c>
    </row>
    <row r="174" spans="1:10" ht="30" x14ac:dyDescent="0.25">
      <c r="A174" s="57"/>
      <c r="B174" s="69"/>
      <c r="C174" s="63">
        <v>304</v>
      </c>
      <c r="D174" s="209" t="s">
        <v>185</v>
      </c>
      <c r="E174" s="70">
        <v>40.090000000000003</v>
      </c>
      <c r="F174" s="64">
        <v>38.71</v>
      </c>
      <c r="G174" s="64">
        <v>38.71</v>
      </c>
      <c r="H174" s="66">
        <v>41.62</v>
      </c>
      <c r="I174" s="67">
        <f>H174/G174</f>
        <v>1.0751743735468871</v>
      </c>
      <c r="J174" s="62" t="s">
        <v>27</v>
      </c>
    </row>
    <row r="175" spans="1:10" x14ac:dyDescent="0.25">
      <c r="A175" s="57"/>
      <c r="B175" s="69"/>
      <c r="C175" s="63">
        <v>305</v>
      </c>
      <c r="D175" s="209" t="s">
        <v>186</v>
      </c>
      <c r="E175" s="70">
        <v>-3</v>
      </c>
      <c r="F175" s="64">
        <v>3</v>
      </c>
      <c r="G175" s="64">
        <v>3</v>
      </c>
      <c r="H175" s="66">
        <v>3</v>
      </c>
      <c r="I175" s="67">
        <f>H175/G175</f>
        <v>1</v>
      </c>
      <c r="J175" s="62" t="s">
        <v>27</v>
      </c>
    </row>
    <row r="176" spans="1:10" s="208" customFormat="1" x14ac:dyDescent="0.25">
      <c r="A176" s="57"/>
      <c r="B176" s="69"/>
      <c r="C176" s="63">
        <v>340</v>
      </c>
      <c r="D176" s="209" t="s">
        <v>418</v>
      </c>
      <c r="E176" s="64">
        <v>6140</v>
      </c>
      <c r="F176" s="65">
        <v>6000</v>
      </c>
      <c r="G176" s="65">
        <v>6000</v>
      </c>
      <c r="H176" s="66">
        <v>6409</v>
      </c>
      <c r="I176" s="67">
        <f>H176/G176</f>
        <v>1.0681666666666667</v>
      </c>
      <c r="J176" s="62" t="s">
        <v>27</v>
      </c>
    </row>
    <row r="177" spans="1:10" s="208" customFormat="1" x14ac:dyDescent="0.25">
      <c r="A177" s="57"/>
      <c r="B177" s="69"/>
      <c r="C177" s="63">
        <v>140</v>
      </c>
      <c r="D177" s="209" t="s">
        <v>420</v>
      </c>
      <c r="E177" s="64">
        <v>21</v>
      </c>
      <c r="F177" s="65">
        <v>24</v>
      </c>
      <c r="G177" s="65">
        <v>24</v>
      </c>
      <c r="H177" s="66">
        <v>24</v>
      </c>
      <c r="I177" s="67">
        <f>H177/G177</f>
        <v>1</v>
      </c>
      <c r="J177" s="62" t="s">
        <v>27</v>
      </c>
    </row>
    <row r="178" spans="1:10" x14ac:dyDescent="0.25">
      <c r="A178" s="57" t="s">
        <v>83</v>
      </c>
      <c r="B178" s="294" t="s">
        <v>249</v>
      </c>
      <c r="C178" s="295"/>
      <c r="D178" s="295" t="s">
        <v>79</v>
      </c>
      <c r="E178" s="296"/>
      <c r="F178" s="58"/>
      <c r="G178" s="59"/>
      <c r="H178" s="60"/>
      <c r="I178" s="61"/>
      <c r="J178" s="62" t="s">
        <v>27</v>
      </c>
    </row>
    <row r="179" spans="1:10" x14ac:dyDescent="0.25">
      <c r="A179" s="57"/>
      <c r="B179" s="69"/>
      <c r="C179" s="63">
        <v>679</v>
      </c>
      <c r="D179" s="209" t="s">
        <v>187</v>
      </c>
      <c r="E179" s="70">
        <v>25.84</v>
      </c>
      <c r="F179" s="64">
        <v>29.97</v>
      </c>
      <c r="G179" s="64">
        <v>29.97</v>
      </c>
      <c r="H179" s="66">
        <v>27.33</v>
      </c>
      <c r="I179" s="67">
        <f>H179/G179</f>
        <v>0.9119119119119119</v>
      </c>
      <c r="J179" s="62" t="s">
        <v>27</v>
      </c>
    </row>
    <row r="180" spans="1:10" s="208" customFormat="1" ht="30" x14ac:dyDescent="0.25">
      <c r="A180" s="57"/>
      <c r="B180" s="69"/>
      <c r="C180" s="63">
        <v>753</v>
      </c>
      <c r="D180" s="209" t="s">
        <v>422</v>
      </c>
      <c r="E180" s="64">
        <v>3958</v>
      </c>
      <c r="F180" s="65">
        <v>4646</v>
      </c>
      <c r="G180" s="65">
        <v>4646</v>
      </c>
      <c r="H180" s="66">
        <v>4209</v>
      </c>
      <c r="I180" s="67">
        <f>H180/G180</f>
        <v>0.90594059405940597</v>
      </c>
      <c r="J180" s="62" t="s">
        <v>27</v>
      </c>
    </row>
    <row r="183" spans="1:10" ht="31.5" x14ac:dyDescent="0.25">
      <c r="A183" s="42" t="s">
        <v>29</v>
      </c>
      <c r="B183" s="43">
        <v>6440</v>
      </c>
      <c r="C183" s="44" t="s">
        <v>49</v>
      </c>
      <c r="D183" s="297" t="s">
        <v>104</v>
      </c>
      <c r="E183" s="298"/>
      <c r="F183" s="298"/>
      <c r="G183" s="298"/>
      <c r="H183" s="298"/>
      <c r="I183" s="299"/>
      <c r="J183" s="45" t="s">
        <v>45</v>
      </c>
    </row>
    <row r="184" spans="1:10" ht="15.75" x14ac:dyDescent="0.25">
      <c r="A184" s="46" t="s">
        <v>50</v>
      </c>
      <c r="B184" s="300" t="s">
        <v>250</v>
      </c>
      <c r="C184" s="301"/>
      <c r="D184" s="301"/>
      <c r="E184" s="301"/>
      <c r="F184" s="301"/>
      <c r="G184" s="301"/>
      <c r="H184" s="302"/>
      <c r="I184" s="303"/>
      <c r="J184" s="47" t="s">
        <v>39</v>
      </c>
    </row>
    <row r="185" spans="1:10" ht="15.75" x14ac:dyDescent="0.25">
      <c r="A185" s="48"/>
      <c r="B185" s="49"/>
      <c r="C185" s="50"/>
      <c r="D185" s="304" t="s">
        <v>79</v>
      </c>
      <c r="E185" s="304"/>
      <c r="F185" s="304"/>
      <c r="G185" s="304"/>
      <c r="H185" s="304"/>
      <c r="I185" s="304"/>
      <c r="J185" s="47" t="s">
        <v>27</v>
      </c>
    </row>
    <row r="186" spans="1:10" ht="51" x14ac:dyDescent="0.25">
      <c r="A186" s="51" t="s">
        <v>80</v>
      </c>
      <c r="B186" s="52"/>
      <c r="C186" s="53" t="s">
        <v>81</v>
      </c>
      <c r="D186" s="54" t="s">
        <v>82</v>
      </c>
      <c r="E186" s="53" t="s">
        <v>52</v>
      </c>
      <c r="F186" s="53" t="s">
        <v>53</v>
      </c>
      <c r="G186" s="53" t="s">
        <v>54</v>
      </c>
      <c r="H186" s="55" t="s">
        <v>55</v>
      </c>
      <c r="I186" s="56" t="s">
        <v>56</v>
      </c>
      <c r="J186" s="47" t="s">
        <v>27</v>
      </c>
    </row>
    <row r="187" spans="1:10" x14ac:dyDescent="0.25">
      <c r="A187" s="57" t="s">
        <v>57</v>
      </c>
      <c r="B187" s="294" t="s">
        <v>251</v>
      </c>
      <c r="C187" s="295"/>
      <c r="D187" s="295" t="s">
        <v>79</v>
      </c>
      <c r="E187" s="296"/>
      <c r="F187" s="58"/>
      <c r="G187" s="59"/>
      <c r="H187" s="60"/>
      <c r="I187" s="61"/>
      <c r="J187" s="62" t="s">
        <v>27</v>
      </c>
    </row>
    <row r="188" spans="1:10" ht="30" x14ac:dyDescent="0.25">
      <c r="A188" s="57"/>
      <c r="B188" s="69"/>
      <c r="C188" s="63">
        <v>294</v>
      </c>
      <c r="D188" s="209" t="s">
        <v>190</v>
      </c>
      <c r="E188" s="70">
        <v>14.29</v>
      </c>
      <c r="F188" s="64">
        <v>15.48</v>
      </c>
      <c r="G188" s="64">
        <v>15.48</v>
      </c>
      <c r="H188" s="66">
        <v>16.28</v>
      </c>
      <c r="I188" s="67">
        <f t="shared" ref="I188:I192" si="11">H188/G188</f>
        <v>1.0516795865633075</v>
      </c>
      <c r="J188" s="62" t="s">
        <v>27</v>
      </c>
    </row>
    <row r="189" spans="1:10" ht="30" x14ac:dyDescent="0.25">
      <c r="A189" s="57"/>
      <c r="B189" s="69"/>
      <c r="C189" s="63">
        <v>323</v>
      </c>
      <c r="D189" s="209" t="s">
        <v>191</v>
      </c>
      <c r="E189" s="70">
        <v>436333</v>
      </c>
      <c r="F189" s="64">
        <v>707385</v>
      </c>
      <c r="G189" s="64">
        <v>707385</v>
      </c>
      <c r="H189" s="66">
        <v>525714</v>
      </c>
      <c r="I189" s="67">
        <f t="shared" si="11"/>
        <v>0.74317945673148289</v>
      </c>
      <c r="J189" s="62" t="s">
        <v>27</v>
      </c>
    </row>
    <row r="190" spans="1:10" ht="30" x14ac:dyDescent="0.25">
      <c r="A190" s="57"/>
      <c r="B190" s="69"/>
      <c r="C190" s="63">
        <v>325</v>
      </c>
      <c r="D190" s="209" t="s">
        <v>192</v>
      </c>
      <c r="E190" s="70">
        <v>0.27</v>
      </c>
      <c r="F190" s="64">
        <v>0.2</v>
      </c>
      <c r="G190" s="64">
        <v>0.2</v>
      </c>
      <c r="H190" s="66">
        <v>0.28999999999999998</v>
      </c>
      <c r="I190" s="67">
        <f t="shared" si="11"/>
        <v>1.4499999999999997</v>
      </c>
      <c r="J190" s="62" t="s">
        <v>27</v>
      </c>
    </row>
    <row r="191" spans="1:10" x14ac:dyDescent="0.25">
      <c r="A191" s="57"/>
      <c r="B191" s="69"/>
      <c r="C191" s="63">
        <v>474</v>
      </c>
      <c r="D191" s="209" t="s">
        <v>424</v>
      </c>
      <c r="E191" s="70">
        <v>42</v>
      </c>
      <c r="F191" s="64">
        <v>42</v>
      </c>
      <c r="G191" s="64">
        <v>42</v>
      </c>
      <c r="H191" s="66">
        <v>43</v>
      </c>
      <c r="I191" s="67">
        <f t="shared" si="11"/>
        <v>1.0238095238095237</v>
      </c>
      <c r="J191" s="62" t="s">
        <v>27</v>
      </c>
    </row>
    <row r="192" spans="1:10" x14ac:dyDescent="0.25">
      <c r="A192" s="57"/>
      <c r="B192" s="69"/>
      <c r="C192" s="63">
        <v>438</v>
      </c>
      <c r="D192" s="209" t="s">
        <v>426</v>
      </c>
      <c r="E192" s="70">
        <v>6</v>
      </c>
      <c r="F192" s="64">
        <v>6.5</v>
      </c>
      <c r="G192" s="64">
        <v>6.5</v>
      </c>
      <c r="H192" s="66">
        <v>7</v>
      </c>
      <c r="I192" s="67">
        <f t="shared" si="11"/>
        <v>1.0769230769230769</v>
      </c>
      <c r="J192" s="62" t="s">
        <v>27</v>
      </c>
    </row>
    <row r="196" spans="1:10" ht="31.5" x14ac:dyDescent="0.25">
      <c r="A196" s="42" t="s">
        <v>29</v>
      </c>
      <c r="B196" s="43">
        <v>7220</v>
      </c>
      <c r="C196" s="44" t="s">
        <v>49</v>
      </c>
      <c r="D196" s="297" t="s">
        <v>105</v>
      </c>
      <c r="E196" s="298"/>
      <c r="F196" s="298"/>
      <c r="G196" s="298"/>
      <c r="H196" s="298"/>
      <c r="I196" s="299"/>
      <c r="J196" s="45" t="s">
        <v>45</v>
      </c>
    </row>
    <row r="197" spans="1:10" ht="15.75" x14ac:dyDescent="0.25">
      <c r="A197" s="46" t="s">
        <v>50</v>
      </c>
      <c r="B197" s="300" t="s">
        <v>252</v>
      </c>
      <c r="C197" s="301"/>
      <c r="D197" s="301"/>
      <c r="E197" s="301"/>
      <c r="F197" s="301"/>
      <c r="G197" s="301"/>
      <c r="H197" s="302"/>
      <c r="I197" s="303"/>
      <c r="J197" s="47" t="s">
        <v>39</v>
      </c>
    </row>
    <row r="198" spans="1:10" ht="15.75" x14ac:dyDescent="0.25">
      <c r="A198" s="48"/>
      <c r="B198" s="49"/>
      <c r="C198" s="50"/>
      <c r="D198" s="304" t="s">
        <v>79</v>
      </c>
      <c r="E198" s="304"/>
      <c r="F198" s="304"/>
      <c r="G198" s="304"/>
      <c r="H198" s="304"/>
      <c r="I198" s="304"/>
      <c r="J198" s="47" t="s">
        <v>27</v>
      </c>
    </row>
    <row r="199" spans="1:10" ht="51" x14ac:dyDescent="0.25">
      <c r="A199" s="51" t="s">
        <v>80</v>
      </c>
      <c r="B199" s="52"/>
      <c r="C199" s="53" t="s">
        <v>81</v>
      </c>
      <c r="D199" s="54" t="s">
        <v>82</v>
      </c>
      <c r="E199" s="53" t="s">
        <v>52</v>
      </c>
      <c r="F199" s="53" t="s">
        <v>53</v>
      </c>
      <c r="G199" s="53" t="s">
        <v>54</v>
      </c>
      <c r="H199" s="55" t="s">
        <v>55</v>
      </c>
      <c r="I199" s="56" t="s">
        <v>56</v>
      </c>
      <c r="J199" s="47" t="s">
        <v>27</v>
      </c>
    </row>
    <row r="200" spans="1:10" x14ac:dyDescent="0.25">
      <c r="A200" s="57" t="s">
        <v>57</v>
      </c>
      <c r="B200" s="294" t="s">
        <v>253</v>
      </c>
      <c r="C200" s="295"/>
      <c r="D200" s="295" t="s">
        <v>79</v>
      </c>
      <c r="E200" s="296"/>
      <c r="F200" s="58"/>
      <c r="G200" s="59"/>
      <c r="H200" s="60"/>
      <c r="I200" s="61"/>
      <c r="J200" s="62" t="s">
        <v>27</v>
      </c>
    </row>
    <row r="201" spans="1:10" x14ac:dyDescent="0.25">
      <c r="A201" s="57"/>
      <c r="B201" s="69"/>
      <c r="C201" s="63">
        <v>810</v>
      </c>
      <c r="D201" s="209" t="s">
        <v>428</v>
      </c>
      <c r="E201" s="70">
        <v>3</v>
      </c>
      <c r="F201" s="64">
        <v>1</v>
      </c>
      <c r="G201" s="64">
        <v>1</v>
      </c>
      <c r="H201" s="66">
        <v>2</v>
      </c>
      <c r="I201" s="67">
        <f>H201/G201</f>
        <v>2</v>
      </c>
      <c r="J201" s="62" t="s">
        <v>27</v>
      </c>
    </row>
    <row r="205" spans="1:10" ht="31.5" x14ac:dyDescent="0.25">
      <c r="A205" s="42" t="s">
        <v>29</v>
      </c>
      <c r="B205" s="43">
        <v>8130</v>
      </c>
      <c r="C205" s="44" t="s">
        <v>49</v>
      </c>
      <c r="D205" s="297" t="s">
        <v>106</v>
      </c>
      <c r="E205" s="298"/>
      <c r="F205" s="298"/>
      <c r="G205" s="298"/>
      <c r="H205" s="298"/>
      <c r="I205" s="299"/>
      <c r="J205" s="45" t="s">
        <v>45</v>
      </c>
    </row>
    <row r="206" spans="1:10" ht="15.75" x14ac:dyDescent="0.25">
      <c r="A206" s="46" t="s">
        <v>50</v>
      </c>
      <c r="B206" s="300" t="s">
        <v>254</v>
      </c>
      <c r="C206" s="301"/>
      <c r="D206" s="301"/>
      <c r="E206" s="301"/>
      <c r="F206" s="301"/>
      <c r="G206" s="301"/>
      <c r="H206" s="302"/>
      <c r="I206" s="303"/>
      <c r="J206" s="47" t="s">
        <v>39</v>
      </c>
    </row>
    <row r="207" spans="1:10" ht="15.75" x14ac:dyDescent="0.25">
      <c r="A207" s="48"/>
      <c r="B207" s="49"/>
      <c r="C207" s="50"/>
      <c r="D207" s="304" t="s">
        <v>79</v>
      </c>
      <c r="E207" s="304"/>
      <c r="F207" s="304"/>
      <c r="G207" s="304"/>
      <c r="H207" s="304"/>
      <c r="I207" s="304"/>
      <c r="J207" s="47" t="s">
        <v>27</v>
      </c>
    </row>
    <row r="208" spans="1:10" ht="51" x14ac:dyDescent="0.25">
      <c r="A208" s="51" t="s">
        <v>80</v>
      </c>
      <c r="B208" s="52"/>
      <c r="C208" s="53" t="s">
        <v>81</v>
      </c>
      <c r="D208" s="54" t="s">
        <v>82</v>
      </c>
      <c r="E208" s="53" t="s">
        <v>52</v>
      </c>
      <c r="F208" s="53" t="s">
        <v>53</v>
      </c>
      <c r="G208" s="53" t="s">
        <v>54</v>
      </c>
      <c r="H208" s="55" t="s">
        <v>55</v>
      </c>
      <c r="I208" s="56" t="s">
        <v>56</v>
      </c>
      <c r="J208" s="47" t="s">
        <v>27</v>
      </c>
    </row>
    <row r="209" spans="1:10" x14ac:dyDescent="0.25">
      <c r="A209" s="57" t="s">
        <v>57</v>
      </c>
      <c r="B209" s="294" t="s">
        <v>255</v>
      </c>
      <c r="C209" s="295"/>
      <c r="D209" s="295" t="s">
        <v>79</v>
      </c>
      <c r="E209" s="296"/>
      <c r="F209" s="58"/>
      <c r="G209" s="59"/>
      <c r="H209" s="60"/>
      <c r="I209" s="61"/>
      <c r="J209" s="62" t="s">
        <v>27</v>
      </c>
    </row>
    <row r="210" spans="1:10" ht="30" x14ac:dyDescent="0.25">
      <c r="A210" s="57"/>
      <c r="B210" s="69"/>
      <c r="C210" s="63">
        <v>724</v>
      </c>
      <c r="D210" s="209" t="s">
        <v>430</v>
      </c>
      <c r="E210" s="70">
        <v>6</v>
      </c>
      <c r="F210" s="64">
        <v>20</v>
      </c>
      <c r="G210" s="65">
        <v>20</v>
      </c>
      <c r="H210" s="66">
        <v>20</v>
      </c>
      <c r="I210" s="67">
        <f>H210/G210</f>
        <v>1</v>
      </c>
      <c r="J210" s="62" t="s">
        <v>27</v>
      </c>
    </row>
    <row r="214" spans="1:10" ht="31.5" x14ac:dyDescent="0.25">
      <c r="A214" s="42" t="s">
        <v>29</v>
      </c>
      <c r="B214" s="43">
        <v>8220</v>
      </c>
      <c r="C214" s="44" t="s">
        <v>49</v>
      </c>
      <c r="D214" s="297" t="s">
        <v>107</v>
      </c>
      <c r="E214" s="298"/>
      <c r="F214" s="298"/>
      <c r="G214" s="298"/>
      <c r="H214" s="298"/>
      <c r="I214" s="299"/>
      <c r="J214" s="45" t="s">
        <v>45</v>
      </c>
    </row>
    <row r="215" spans="1:10" ht="15.75" x14ac:dyDescent="0.25">
      <c r="A215" s="46" t="s">
        <v>50</v>
      </c>
      <c r="B215" s="300" t="s">
        <v>256</v>
      </c>
      <c r="C215" s="301"/>
      <c r="D215" s="301"/>
      <c r="E215" s="301"/>
      <c r="F215" s="301"/>
      <c r="G215" s="301"/>
      <c r="H215" s="302"/>
      <c r="I215" s="303"/>
      <c r="J215" s="47" t="s">
        <v>39</v>
      </c>
    </row>
    <row r="216" spans="1:10" ht="15.75" x14ac:dyDescent="0.25">
      <c r="A216" s="48"/>
      <c r="B216" s="49"/>
      <c r="C216" s="50"/>
      <c r="D216" s="304" t="s">
        <v>79</v>
      </c>
      <c r="E216" s="304"/>
      <c r="F216" s="304"/>
      <c r="G216" s="304"/>
      <c r="H216" s="304"/>
      <c r="I216" s="304"/>
      <c r="J216" s="47" t="s">
        <v>27</v>
      </c>
    </row>
    <row r="217" spans="1:10" ht="51" x14ac:dyDescent="0.25">
      <c r="A217" s="51" t="s">
        <v>80</v>
      </c>
      <c r="B217" s="52"/>
      <c r="C217" s="53" t="s">
        <v>81</v>
      </c>
      <c r="D217" s="54" t="s">
        <v>82</v>
      </c>
      <c r="E217" s="53" t="s">
        <v>52</v>
      </c>
      <c r="F217" s="53" t="s">
        <v>53</v>
      </c>
      <c r="G217" s="53" t="s">
        <v>54</v>
      </c>
      <c r="H217" s="55" t="s">
        <v>55</v>
      </c>
      <c r="I217" s="56" t="s">
        <v>56</v>
      </c>
      <c r="J217" s="47" t="s">
        <v>27</v>
      </c>
    </row>
    <row r="218" spans="1:10" x14ac:dyDescent="0.25">
      <c r="A218" s="57" t="s">
        <v>57</v>
      </c>
      <c r="B218" s="294" t="s">
        <v>257</v>
      </c>
      <c r="C218" s="295"/>
      <c r="D218" s="295" t="s">
        <v>79</v>
      </c>
      <c r="E218" s="296"/>
      <c r="F218" s="58"/>
      <c r="G218" s="59"/>
      <c r="H218" s="60"/>
      <c r="I218" s="61"/>
      <c r="J218" s="62" t="s">
        <v>27</v>
      </c>
    </row>
    <row r="219" spans="1:10" ht="30" x14ac:dyDescent="0.25">
      <c r="A219" s="57"/>
      <c r="B219" s="69"/>
      <c r="C219" s="63">
        <v>636</v>
      </c>
      <c r="D219" s="209" t="s">
        <v>453</v>
      </c>
      <c r="E219" s="70">
        <v>1</v>
      </c>
      <c r="F219" s="64">
        <v>-1</v>
      </c>
      <c r="G219" s="64">
        <v>-1</v>
      </c>
      <c r="H219" s="66">
        <v>0</v>
      </c>
      <c r="I219" s="67">
        <f>H219/G219</f>
        <v>0</v>
      </c>
      <c r="J219" s="62" t="s">
        <v>27</v>
      </c>
    </row>
    <row r="220" spans="1:10" s="208" customFormat="1" x14ac:dyDescent="0.25">
      <c r="A220" s="57"/>
      <c r="B220" s="69"/>
      <c r="C220" s="63">
        <v>6</v>
      </c>
      <c r="D220" s="209" t="s">
        <v>454</v>
      </c>
      <c r="E220" s="70">
        <v>5</v>
      </c>
      <c r="F220" s="64">
        <v>4</v>
      </c>
      <c r="G220" s="64">
        <v>4</v>
      </c>
      <c r="H220" s="66">
        <v>5</v>
      </c>
      <c r="I220" s="67">
        <f>H220/G220</f>
        <v>1.25</v>
      </c>
      <c r="J220" s="62" t="s">
        <v>27</v>
      </c>
    </row>
    <row r="223" spans="1:10" ht="31.5" x14ac:dyDescent="0.25">
      <c r="A223" s="42" t="s">
        <v>29</v>
      </c>
      <c r="B223" s="43">
        <v>9120</v>
      </c>
      <c r="C223" s="44" t="s">
        <v>49</v>
      </c>
      <c r="D223" s="297" t="s">
        <v>108</v>
      </c>
      <c r="E223" s="298"/>
      <c r="F223" s="298"/>
      <c r="G223" s="298"/>
      <c r="H223" s="298"/>
      <c r="I223" s="299"/>
      <c r="J223" s="45" t="s">
        <v>45</v>
      </c>
    </row>
    <row r="224" spans="1:10" ht="15.75" x14ac:dyDescent="0.25">
      <c r="A224" s="46" t="s">
        <v>50</v>
      </c>
      <c r="B224" s="300" t="s">
        <v>258</v>
      </c>
      <c r="C224" s="301"/>
      <c r="D224" s="301"/>
      <c r="E224" s="301"/>
      <c r="F224" s="301"/>
      <c r="G224" s="301"/>
      <c r="H224" s="302"/>
      <c r="I224" s="303"/>
      <c r="J224" s="47" t="s">
        <v>39</v>
      </c>
    </row>
    <row r="225" spans="1:10" ht="15.75" x14ac:dyDescent="0.25">
      <c r="A225" s="48"/>
      <c r="B225" s="49"/>
      <c r="C225" s="50"/>
      <c r="D225" s="304" t="s">
        <v>79</v>
      </c>
      <c r="E225" s="304"/>
      <c r="F225" s="304"/>
      <c r="G225" s="304"/>
      <c r="H225" s="304"/>
      <c r="I225" s="304"/>
      <c r="J225" s="47" t="s">
        <v>27</v>
      </c>
    </row>
    <row r="226" spans="1:10" ht="51" x14ac:dyDescent="0.25">
      <c r="A226" s="51" t="s">
        <v>80</v>
      </c>
      <c r="B226" s="52"/>
      <c r="C226" s="53" t="s">
        <v>81</v>
      </c>
      <c r="D226" s="54" t="s">
        <v>82</v>
      </c>
      <c r="E226" s="53" t="s">
        <v>52</v>
      </c>
      <c r="F226" s="53" t="s">
        <v>53</v>
      </c>
      <c r="G226" s="53" t="s">
        <v>54</v>
      </c>
      <c r="H226" s="55" t="s">
        <v>55</v>
      </c>
      <c r="I226" s="56" t="s">
        <v>56</v>
      </c>
      <c r="J226" s="47" t="s">
        <v>27</v>
      </c>
    </row>
    <row r="227" spans="1:10" x14ac:dyDescent="0.25">
      <c r="A227" s="57" t="s">
        <v>57</v>
      </c>
      <c r="B227" s="294" t="s">
        <v>259</v>
      </c>
      <c r="C227" s="295"/>
      <c r="D227" s="295"/>
      <c r="E227" s="296"/>
      <c r="F227" s="58"/>
      <c r="G227" s="59"/>
      <c r="H227" s="60"/>
      <c r="I227" s="61"/>
      <c r="J227" s="62" t="s">
        <v>27</v>
      </c>
    </row>
    <row r="228" spans="1:10" x14ac:dyDescent="0.25">
      <c r="A228" s="57"/>
      <c r="B228" s="69"/>
      <c r="C228" s="63">
        <v>365</v>
      </c>
      <c r="D228" s="209" t="s">
        <v>200</v>
      </c>
      <c r="E228" s="70">
        <v>6.92</v>
      </c>
      <c r="F228" s="64">
        <v>6.92</v>
      </c>
      <c r="G228" s="64">
        <v>6.92</v>
      </c>
      <c r="H228" s="66">
        <v>8.6999999999999993</v>
      </c>
      <c r="I228" s="67">
        <f t="shared" ref="I228:I230" si="12">H228/G228</f>
        <v>1.2572254335260116</v>
      </c>
      <c r="J228" s="62" t="s">
        <v>27</v>
      </c>
    </row>
    <row r="229" spans="1:10" x14ac:dyDescent="0.25">
      <c r="A229" s="57"/>
      <c r="B229" s="69"/>
      <c r="C229" s="63">
        <v>368</v>
      </c>
      <c r="D229" s="209" t="s">
        <v>201</v>
      </c>
      <c r="E229" s="70">
        <v>4.2699999999999996</v>
      </c>
      <c r="F229" s="64">
        <v>8.65</v>
      </c>
      <c r="G229" s="64">
        <v>8.65</v>
      </c>
      <c r="H229" s="66">
        <v>5.3</v>
      </c>
      <c r="I229" s="67">
        <f t="shared" si="12"/>
        <v>0.61271676300578026</v>
      </c>
      <c r="J229" s="62" t="s">
        <v>27</v>
      </c>
    </row>
    <row r="230" spans="1:10" ht="30" x14ac:dyDescent="0.25">
      <c r="A230" s="57"/>
      <c r="B230" s="69"/>
      <c r="C230" s="63">
        <v>682</v>
      </c>
      <c r="D230" s="209" t="s">
        <v>202</v>
      </c>
      <c r="E230" s="70">
        <v>99.45</v>
      </c>
      <c r="F230" s="64">
        <v>90</v>
      </c>
      <c r="G230" s="64">
        <v>90</v>
      </c>
      <c r="H230" s="66">
        <v>79.05</v>
      </c>
      <c r="I230" s="67">
        <f t="shared" si="12"/>
        <v>0.8783333333333333</v>
      </c>
      <c r="J230" s="62" t="s">
        <v>27</v>
      </c>
    </row>
    <row r="234" spans="1:10" ht="31.5" x14ac:dyDescent="0.25">
      <c r="A234" s="42" t="s">
        <v>29</v>
      </c>
      <c r="B234" s="43">
        <v>9230</v>
      </c>
      <c r="C234" s="44" t="s">
        <v>49</v>
      </c>
      <c r="D234" s="297" t="s">
        <v>109</v>
      </c>
      <c r="E234" s="298"/>
      <c r="F234" s="298"/>
      <c r="G234" s="298"/>
      <c r="H234" s="298"/>
      <c r="I234" s="299"/>
      <c r="J234" s="45" t="s">
        <v>45</v>
      </c>
    </row>
    <row r="235" spans="1:10" x14ac:dyDescent="0.25">
      <c r="A235" s="46" t="s">
        <v>50</v>
      </c>
      <c r="B235" s="300" t="s">
        <v>260</v>
      </c>
      <c r="C235" s="301"/>
      <c r="D235" s="301"/>
      <c r="E235" s="301"/>
      <c r="F235" s="301"/>
      <c r="G235" s="301"/>
      <c r="H235" s="302"/>
      <c r="I235" s="303"/>
      <c r="J235" s="47" t="s">
        <v>39</v>
      </c>
    </row>
    <row r="236" spans="1:10" ht="15.75" x14ac:dyDescent="0.25">
      <c r="A236" s="48"/>
      <c r="B236" s="49"/>
      <c r="C236" s="50"/>
      <c r="D236" s="304" t="s">
        <v>79</v>
      </c>
      <c r="E236" s="304"/>
      <c r="F236" s="304"/>
      <c r="G236" s="304"/>
      <c r="H236" s="304"/>
      <c r="I236" s="304"/>
      <c r="J236" s="47" t="s">
        <v>27</v>
      </c>
    </row>
    <row r="237" spans="1:10" ht="51" x14ac:dyDescent="0.25">
      <c r="A237" s="51" t="s">
        <v>80</v>
      </c>
      <c r="B237" s="52"/>
      <c r="C237" s="53" t="s">
        <v>81</v>
      </c>
      <c r="D237" s="54" t="s">
        <v>82</v>
      </c>
      <c r="E237" s="53" t="s">
        <v>52</v>
      </c>
      <c r="F237" s="53" t="s">
        <v>53</v>
      </c>
      <c r="G237" s="53" t="s">
        <v>54</v>
      </c>
      <c r="H237" s="55" t="s">
        <v>55</v>
      </c>
      <c r="I237" s="56" t="s">
        <v>56</v>
      </c>
      <c r="J237" s="47" t="s">
        <v>27</v>
      </c>
    </row>
    <row r="238" spans="1:10" x14ac:dyDescent="0.25">
      <c r="A238" s="57" t="s">
        <v>57</v>
      </c>
      <c r="B238" s="294" t="s">
        <v>261</v>
      </c>
      <c r="C238" s="295"/>
      <c r="D238" s="295" t="s">
        <v>79</v>
      </c>
      <c r="E238" s="296"/>
      <c r="F238" s="58"/>
      <c r="G238" s="59"/>
      <c r="H238" s="60"/>
      <c r="I238" s="61"/>
      <c r="J238" s="62" t="s">
        <v>27</v>
      </c>
    </row>
    <row r="239" spans="1:10" ht="30" x14ac:dyDescent="0.25">
      <c r="A239" s="57"/>
      <c r="B239" s="69"/>
      <c r="C239" s="63">
        <v>758</v>
      </c>
      <c r="D239" s="209" t="s">
        <v>205</v>
      </c>
      <c r="E239" s="70">
        <v>64675.3</v>
      </c>
      <c r="F239" s="64">
        <v>88406.9</v>
      </c>
      <c r="G239" s="64">
        <v>88406.9</v>
      </c>
      <c r="H239" s="66">
        <v>73826.7</v>
      </c>
      <c r="I239" s="67">
        <f>H239/G239</f>
        <v>0.83507848369301496</v>
      </c>
      <c r="J239" s="62" t="s">
        <v>27</v>
      </c>
    </row>
    <row r="240" spans="1:10" x14ac:dyDescent="0.25">
      <c r="A240" s="57" t="s">
        <v>83</v>
      </c>
      <c r="B240" s="294" t="s">
        <v>262</v>
      </c>
      <c r="C240" s="295"/>
      <c r="D240" s="295" t="s">
        <v>79</v>
      </c>
      <c r="E240" s="296"/>
      <c r="F240" s="58"/>
      <c r="G240" s="59"/>
      <c r="H240" s="60"/>
      <c r="I240" s="61"/>
      <c r="J240" s="62" t="s">
        <v>27</v>
      </c>
    </row>
    <row r="241" spans="1:10" ht="30" x14ac:dyDescent="0.25">
      <c r="A241" s="57"/>
      <c r="B241" s="69"/>
      <c r="C241" s="63">
        <v>388</v>
      </c>
      <c r="D241" s="209" t="s">
        <v>206</v>
      </c>
      <c r="E241" s="70">
        <v>100</v>
      </c>
      <c r="F241" s="64">
        <v>100</v>
      </c>
      <c r="G241" s="65">
        <v>100</v>
      </c>
      <c r="H241" s="65">
        <v>100</v>
      </c>
      <c r="I241" s="67">
        <f>H241/G241</f>
        <v>1</v>
      </c>
      <c r="J241" s="62" t="s">
        <v>27</v>
      </c>
    </row>
    <row r="242" spans="1:10" s="208" customFormat="1" x14ac:dyDescent="0.25">
      <c r="A242" s="57"/>
      <c r="B242" s="69"/>
      <c r="C242" s="63">
        <v>405</v>
      </c>
      <c r="D242" s="209" t="s">
        <v>432</v>
      </c>
      <c r="E242" s="70">
        <v>4</v>
      </c>
      <c r="F242" s="64">
        <v>4</v>
      </c>
      <c r="G242" s="65">
        <v>4</v>
      </c>
      <c r="H242" s="66">
        <v>4</v>
      </c>
      <c r="I242" s="67">
        <f>H242/G242</f>
        <v>1</v>
      </c>
      <c r="J242" s="62" t="s">
        <v>27</v>
      </c>
    </row>
    <row r="243" spans="1:10" x14ac:dyDescent="0.25">
      <c r="A243" s="57" t="s">
        <v>220</v>
      </c>
      <c r="B243" s="294" t="s">
        <v>263</v>
      </c>
      <c r="C243" s="295"/>
      <c r="D243" s="295" t="s">
        <v>79</v>
      </c>
      <c r="E243" s="296"/>
      <c r="F243" s="58"/>
      <c r="G243" s="59"/>
      <c r="H243" s="60"/>
      <c r="I243" s="61"/>
      <c r="J243" s="62" t="s">
        <v>27</v>
      </c>
    </row>
    <row r="244" spans="1:10" ht="30" x14ac:dyDescent="0.25">
      <c r="A244" s="57"/>
      <c r="B244" s="69"/>
      <c r="C244" s="63">
        <v>683</v>
      </c>
      <c r="D244" s="209" t="s">
        <v>207</v>
      </c>
      <c r="E244" s="70">
        <v>1.05</v>
      </c>
      <c r="F244" s="64">
        <v>2</v>
      </c>
      <c r="G244" s="64">
        <v>2</v>
      </c>
      <c r="H244" s="66">
        <v>1.3</v>
      </c>
      <c r="I244" s="67">
        <f>H244/G244</f>
        <v>0.65</v>
      </c>
      <c r="J244" s="62" t="s">
        <v>27</v>
      </c>
    </row>
    <row r="248" spans="1:10" ht="31.5" x14ac:dyDescent="0.25">
      <c r="A248" s="42" t="s">
        <v>29</v>
      </c>
      <c r="B248" s="43">
        <v>10140</v>
      </c>
      <c r="C248" s="44" t="s">
        <v>49</v>
      </c>
      <c r="D248" s="297" t="s">
        <v>67</v>
      </c>
      <c r="E248" s="298"/>
      <c r="F248" s="298"/>
      <c r="G248" s="298"/>
      <c r="H248" s="298"/>
      <c r="I248" s="299"/>
      <c r="J248" s="45" t="s">
        <v>45</v>
      </c>
    </row>
    <row r="249" spans="1:10" ht="15.75" x14ac:dyDescent="0.25">
      <c r="A249" s="46" t="s">
        <v>50</v>
      </c>
      <c r="B249" s="300" t="s">
        <v>264</v>
      </c>
      <c r="C249" s="301"/>
      <c r="D249" s="301"/>
      <c r="E249" s="301"/>
      <c r="F249" s="301"/>
      <c r="G249" s="301"/>
      <c r="H249" s="302"/>
      <c r="I249" s="303"/>
      <c r="J249" s="47" t="s">
        <v>39</v>
      </c>
    </row>
    <row r="250" spans="1:10" ht="15.75" x14ac:dyDescent="0.25">
      <c r="A250" s="48"/>
      <c r="B250" s="49"/>
      <c r="C250" s="50"/>
      <c r="D250" s="304" t="s">
        <v>79</v>
      </c>
      <c r="E250" s="304"/>
      <c r="F250" s="304"/>
      <c r="G250" s="304"/>
      <c r="H250" s="304"/>
      <c r="I250" s="304"/>
      <c r="J250" s="47" t="s">
        <v>27</v>
      </c>
    </row>
    <row r="251" spans="1:10" ht="51" x14ac:dyDescent="0.25">
      <c r="A251" s="51" t="s">
        <v>80</v>
      </c>
      <c r="B251" s="52"/>
      <c r="C251" s="53" t="s">
        <v>81</v>
      </c>
      <c r="D251" s="54" t="s">
        <v>82</v>
      </c>
      <c r="E251" s="53" t="s">
        <v>52</v>
      </c>
      <c r="F251" s="53" t="s">
        <v>53</v>
      </c>
      <c r="G251" s="53" t="s">
        <v>54</v>
      </c>
      <c r="H251" s="55" t="s">
        <v>55</v>
      </c>
      <c r="I251" s="56" t="s">
        <v>56</v>
      </c>
      <c r="J251" s="47" t="s">
        <v>27</v>
      </c>
    </row>
    <row r="252" spans="1:10" x14ac:dyDescent="0.25">
      <c r="A252" s="57" t="s">
        <v>57</v>
      </c>
      <c r="B252" s="294" t="s">
        <v>265</v>
      </c>
      <c r="C252" s="295"/>
      <c r="D252" s="295" t="s">
        <v>79</v>
      </c>
      <c r="E252" s="296"/>
      <c r="F252" s="58"/>
      <c r="G252" s="59"/>
      <c r="H252" s="60"/>
      <c r="I252" s="61"/>
      <c r="J252" s="62" t="s">
        <v>27</v>
      </c>
    </row>
    <row r="253" spans="1:10" ht="30" x14ac:dyDescent="0.25">
      <c r="A253" s="57"/>
      <c r="B253" s="69"/>
      <c r="C253" s="63">
        <v>638</v>
      </c>
      <c r="D253" s="209" t="s">
        <v>209</v>
      </c>
      <c r="E253" s="70">
        <v>117</v>
      </c>
      <c r="F253" s="64">
        <v>0</v>
      </c>
      <c r="G253" s="64">
        <v>0</v>
      </c>
      <c r="H253" s="66">
        <v>-101</v>
      </c>
      <c r="I253" s="67" t="e">
        <f>H253/G253</f>
        <v>#DIV/0!</v>
      </c>
      <c r="J253" s="62" t="s">
        <v>27</v>
      </c>
    </row>
    <row r="254" spans="1:10" x14ac:dyDescent="0.25">
      <c r="A254" s="57"/>
      <c r="B254" s="69"/>
      <c r="C254" s="63">
        <v>684</v>
      </c>
      <c r="D254" s="209" t="s">
        <v>210</v>
      </c>
      <c r="E254" s="70">
        <v>104238</v>
      </c>
      <c r="F254" s="64">
        <v>104237</v>
      </c>
      <c r="G254" s="64">
        <v>104237</v>
      </c>
      <c r="H254" s="66">
        <v>111094</v>
      </c>
      <c r="I254" s="67">
        <f>H254/G254</f>
        <v>1.0657827834646048</v>
      </c>
      <c r="J254" s="62" t="s">
        <v>27</v>
      </c>
    </row>
    <row r="255" spans="1:10" s="208" customFormat="1" x14ac:dyDescent="0.25">
      <c r="A255" s="57"/>
      <c r="B255" s="69"/>
      <c r="C255" s="63">
        <v>745</v>
      </c>
      <c r="D255" s="209" t="s">
        <v>434</v>
      </c>
      <c r="E255" s="70">
        <v>737</v>
      </c>
      <c r="F255" s="64">
        <v>737</v>
      </c>
      <c r="G255" s="64">
        <v>737</v>
      </c>
      <c r="H255" s="66">
        <v>636</v>
      </c>
      <c r="I255" s="67">
        <f>H255/G255</f>
        <v>0.86295793758480321</v>
      </c>
      <c r="J255" s="62" t="s">
        <v>27</v>
      </c>
    </row>
    <row r="259" spans="1:10" ht="31.5" x14ac:dyDescent="0.25">
      <c r="A259" s="42" t="s">
        <v>29</v>
      </c>
      <c r="B259" s="43">
        <v>10661</v>
      </c>
      <c r="C259" s="44" t="s">
        <v>49</v>
      </c>
      <c r="D259" s="297" t="s">
        <v>110</v>
      </c>
      <c r="E259" s="298"/>
      <c r="F259" s="298"/>
      <c r="G259" s="298"/>
      <c r="H259" s="298"/>
      <c r="I259" s="299"/>
      <c r="J259" s="45" t="s">
        <v>45</v>
      </c>
    </row>
    <row r="260" spans="1:10" ht="15.75" x14ac:dyDescent="0.25">
      <c r="A260" s="46" t="s">
        <v>50</v>
      </c>
      <c r="B260" s="300" t="s">
        <v>266</v>
      </c>
      <c r="C260" s="301"/>
      <c r="D260" s="301"/>
      <c r="E260" s="301"/>
      <c r="F260" s="301"/>
      <c r="G260" s="301"/>
      <c r="H260" s="302"/>
      <c r="I260" s="303"/>
      <c r="J260" s="47" t="s">
        <v>39</v>
      </c>
    </row>
    <row r="261" spans="1:10" ht="15.75" x14ac:dyDescent="0.25">
      <c r="A261" s="48"/>
      <c r="B261" s="49"/>
      <c r="C261" s="50"/>
      <c r="D261" s="304" t="s">
        <v>79</v>
      </c>
      <c r="E261" s="304"/>
      <c r="F261" s="304"/>
      <c r="G261" s="304"/>
      <c r="H261" s="304"/>
      <c r="I261" s="304"/>
      <c r="J261" s="47" t="s">
        <v>27</v>
      </c>
    </row>
    <row r="262" spans="1:10" ht="51" x14ac:dyDescent="0.25">
      <c r="A262" s="51" t="s">
        <v>80</v>
      </c>
      <c r="B262" s="52"/>
      <c r="C262" s="53" t="s">
        <v>81</v>
      </c>
      <c r="D262" s="54" t="s">
        <v>82</v>
      </c>
      <c r="E262" s="53" t="s">
        <v>52</v>
      </c>
      <c r="F262" s="53" t="s">
        <v>53</v>
      </c>
      <c r="G262" s="53" t="s">
        <v>54</v>
      </c>
      <c r="H262" s="55" t="s">
        <v>55</v>
      </c>
      <c r="I262" s="56" t="s">
        <v>56</v>
      </c>
      <c r="J262" s="47" t="s">
        <v>27</v>
      </c>
    </row>
    <row r="263" spans="1:10" x14ac:dyDescent="0.25">
      <c r="A263" s="57" t="s">
        <v>57</v>
      </c>
      <c r="B263" s="294" t="s">
        <v>267</v>
      </c>
      <c r="C263" s="295"/>
      <c r="D263" s="295" t="s">
        <v>79</v>
      </c>
      <c r="E263" s="296"/>
      <c r="F263" s="58"/>
      <c r="G263" s="59"/>
      <c r="H263" s="60"/>
      <c r="I263" s="61"/>
      <c r="J263" s="62" t="s">
        <v>27</v>
      </c>
    </row>
    <row r="264" spans="1:10" x14ac:dyDescent="0.25">
      <c r="A264" s="57"/>
      <c r="B264" s="69"/>
      <c r="C264" s="63">
        <v>690</v>
      </c>
      <c r="D264" s="209" t="s">
        <v>455</v>
      </c>
      <c r="E264" s="70">
        <v>0</v>
      </c>
      <c r="F264" s="64">
        <v>24</v>
      </c>
      <c r="G264" s="64">
        <v>24</v>
      </c>
      <c r="H264" s="66">
        <v>19</v>
      </c>
      <c r="I264" s="67">
        <f>H264/G264</f>
        <v>0.79166666666666663</v>
      </c>
      <c r="J264" s="62" t="s">
        <v>27</v>
      </c>
    </row>
    <row r="268" spans="1:10" ht="31.5" x14ac:dyDescent="0.25">
      <c r="A268" s="42" t="s">
        <v>29</v>
      </c>
      <c r="B268" s="43">
        <v>6210</v>
      </c>
      <c r="C268" s="44" t="s">
        <v>49</v>
      </c>
      <c r="D268" s="297" t="s">
        <v>112</v>
      </c>
      <c r="E268" s="298"/>
      <c r="F268" s="298"/>
      <c r="G268" s="298"/>
      <c r="H268" s="298"/>
      <c r="I268" s="299"/>
      <c r="J268" s="45" t="s">
        <v>45</v>
      </c>
    </row>
    <row r="269" spans="1:10" ht="15.75" x14ac:dyDescent="0.25">
      <c r="A269" s="46" t="s">
        <v>50</v>
      </c>
      <c r="B269" s="300" t="s">
        <v>268</v>
      </c>
      <c r="C269" s="301"/>
      <c r="D269" s="301"/>
      <c r="E269" s="301"/>
      <c r="F269" s="301"/>
      <c r="G269" s="301"/>
      <c r="H269" s="302"/>
      <c r="I269" s="303"/>
      <c r="J269" s="47" t="s">
        <v>39</v>
      </c>
    </row>
    <row r="270" spans="1:10" ht="15.75" x14ac:dyDescent="0.25">
      <c r="A270" s="48"/>
      <c r="B270" s="49"/>
      <c r="C270" s="50"/>
      <c r="D270" s="304" t="s">
        <v>79</v>
      </c>
      <c r="E270" s="304"/>
      <c r="F270" s="304"/>
      <c r="G270" s="304"/>
      <c r="H270" s="304"/>
      <c r="I270" s="304"/>
      <c r="J270" s="47" t="s">
        <v>27</v>
      </c>
    </row>
    <row r="271" spans="1:10" ht="51" x14ac:dyDescent="0.25">
      <c r="A271" s="51" t="s">
        <v>80</v>
      </c>
      <c r="B271" s="52"/>
      <c r="C271" s="53" t="s">
        <v>81</v>
      </c>
      <c r="D271" s="54" t="s">
        <v>82</v>
      </c>
      <c r="E271" s="53" t="s">
        <v>52</v>
      </c>
      <c r="F271" s="53" t="s">
        <v>53</v>
      </c>
      <c r="G271" s="53" t="s">
        <v>54</v>
      </c>
      <c r="H271" s="55" t="s">
        <v>55</v>
      </c>
      <c r="I271" s="56" t="s">
        <v>56</v>
      </c>
      <c r="J271" s="47" t="s">
        <v>27</v>
      </c>
    </row>
    <row r="272" spans="1:10" x14ac:dyDescent="0.25">
      <c r="A272" s="57" t="s">
        <v>57</v>
      </c>
      <c r="B272" s="294" t="s">
        <v>269</v>
      </c>
      <c r="C272" s="295"/>
      <c r="D272" s="295" t="s">
        <v>79</v>
      </c>
      <c r="E272" s="296"/>
      <c r="F272" s="58"/>
      <c r="G272" s="59"/>
      <c r="H272" s="60"/>
      <c r="I272" s="61"/>
      <c r="J272" s="62" t="s">
        <v>27</v>
      </c>
    </row>
    <row r="273" spans="1:10" x14ac:dyDescent="0.25">
      <c r="A273" s="57"/>
      <c r="B273" s="69"/>
      <c r="C273" s="63">
        <v>673</v>
      </c>
      <c r="D273" s="209" t="s">
        <v>456</v>
      </c>
      <c r="E273" s="70">
        <v>1</v>
      </c>
      <c r="F273" s="64">
        <v>0</v>
      </c>
      <c r="G273" s="64">
        <v>0</v>
      </c>
      <c r="H273" s="66">
        <v>0</v>
      </c>
      <c r="I273" s="67" t="e">
        <f>H273/G273</f>
        <v>#DIV/0!</v>
      </c>
      <c r="J273" s="62" t="s">
        <v>27</v>
      </c>
    </row>
    <row r="274" spans="1:10" x14ac:dyDescent="0.25">
      <c r="A274" s="57"/>
      <c r="B274" s="69"/>
      <c r="C274" s="63">
        <v>697</v>
      </c>
      <c r="D274" s="209" t="s">
        <v>457</v>
      </c>
      <c r="E274" s="70">
        <v>1</v>
      </c>
      <c r="F274" s="64">
        <v>0</v>
      </c>
      <c r="G274" s="64">
        <v>0</v>
      </c>
      <c r="H274" s="66">
        <v>-1</v>
      </c>
      <c r="I274" s="67" t="e">
        <f>H274/G274</f>
        <v>#DIV/0!</v>
      </c>
      <c r="J274" s="62" t="s">
        <v>27</v>
      </c>
    </row>
    <row r="275" spans="1:10" s="208" customFormat="1" x14ac:dyDescent="0.25">
      <c r="A275" s="57"/>
      <c r="B275" s="69"/>
      <c r="C275" s="63">
        <v>235</v>
      </c>
      <c r="D275" s="209" t="s">
        <v>436</v>
      </c>
      <c r="E275" s="70">
        <v>1</v>
      </c>
      <c r="F275" s="64">
        <v>1</v>
      </c>
      <c r="G275" s="64">
        <v>1</v>
      </c>
      <c r="H275" s="66">
        <v>0</v>
      </c>
      <c r="I275" s="67">
        <f>H275/G275</f>
        <v>0</v>
      </c>
      <c r="J275" s="62" t="s">
        <v>27</v>
      </c>
    </row>
    <row r="276" spans="1:10" s="208" customFormat="1" x14ac:dyDescent="0.25">
      <c r="A276" s="57"/>
      <c r="B276" s="69"/>
      <c r="C276" s="63">
        <v>757</v>
      </c>
      <c r="D276" s="209" t="s">
        <v>438</v>
      </c>
      <c r="E276" s="70">
        <v>1</v>
      </c>
      <c r="F276" s="64">
        <v>1</v>
      </c>
      <c r="G276" s="64">
        <v>1</v>
      </c>
      <c r="H276" s="66">
        <v>1</v>
      </c>
      <c r="I276" s="67">
        <f>H276/G276</f>
        <v>1</v>
      </c>
      <c r="J276" s="62" t="s">
        <v>27</v>
      </c>
    </row>
    <row r="280" spans="1:10" ht="31.5" x14ac:dyDescent="0.25">
      <c r="A280" s="42" t="s">
        <v>29</v>
      </c>
      <c r="B280" s="43">
        <v>10430</v>
      </c>
      <c r="C280" s="44" t="s">
        <v>49</v>
      </c>
      <c r="D280" s="297" t="s">
        <v>113</v>
      </c>
      <c r="E280" s="298"/>
      <c r="F280" s="298"/>
      <c r="G280" s="298"/>
      <c r="H280" s="298"/>
      <c r="I280" s="299"/>
      <c r="J280" s="45" t="s">
        <v>45</v>
      </c>
    </row>
    <row r="281" spans="1:10" ht="15.75" x14ac:dyDescent="0.25">
      <c r="A281" s="46" t="s">
        <v>50</v>
      </c>
      <c r="B281" s="300" t="s">
        <v>270</v>
      </c>
      <c r="C281" s="301"/>
      <c r="D281" s="301"/>
      <c r="E281" s="301"/>
      <c r="F281" s="301"/>
      <c r="G281" s="301"/>
      <c r="H281" s="302"/>
      <c r="I281" s="303"/>
      <c r="J281" s="47" t="s">
        <v>39</v>
      </c>
    </row>
    <row r="282" spans="1:10" ht="15.75" x14ac:dyDescent="0.25">
      <c r="A282" s="48"/>
      <c r="B282" s="49"/>
      <c r="C282" s="50"/>
      <c r="D282" s="304" t="s">
        <v>79</v>
      </c>
      <c r="E282" s="304"/>
      <c r="F282" s="304"/>
      <c r="G282" s="304"/>
      <c r="H282" s="304"/>
      <c r="I282" s="304"/>
      <c r="J282" s="47" t="s">
        <v>27</v>
      </c>
    </row>
    <row r="283" spans="1:10" ht="51" x14ac:dyDescent="0.25">
      <c r="A283" s="51" t="s">
        <v>80</v>
      </c>
      <c r="B283" s="52"/>
      <c r="C283" s="53" t="s">
        <v>81</v>
      </c>
      <c r="D283" s="54" t="s">
        <v>82</v>
      </c>
      <c r="E283" s="53" t="s">
        <v>52</v>
      </c>
      <c r="F283" s="53" t="s">
        <v>53</v>
      </c>
      <c r="G283" s="53" t="s">
        <v>54</v>
      </c>
      <c r="H283" s="55" t="s">
        <v>55</v>
      </c>
      <c r="I283" s="56" t="s">
        <v>56</v>
      </c>
      <c r="J283" s="47" t="s">
        <v>27</v>
      </c>
    </row>
    <row r="284" spans="1:10" x14ac:dyDescent="0.25">
      <c r="A284" s="57" t="s">
        <v>57</v>
      </c>
      <c r="B284" s="294" t="s">
        <v>271</v>
      </c>
      <c r="C284" s="295"/>
      <c r="D284" s="295" t="s">
        <v>79</v>
      </c>
      <c r="E284" s="296"/>
      <c r="F284" s="58"/>
      <c r="G284" s="59"/>
      <c r="H284" s="60"/>
      <c r="I284" s="61"/>
      <c r="J284" s="62" t="s">
        <v>27</v>
      </c>
    </row>
    <row r="285" spans="1:10" x14ac:dyDescent="0.25">
      <c r="A285" s="57"/>
      <c r="B285" s="69"/>
      <c r="C285" s="63">
        <v>375</v>
      </c>
      <c r="D285" s="209" t="s">
        <v>458</v>
      </c>
      <c r="E285" s="70">
        <v>2.38</v>
      </c>
      <c r="F285" s="64">
        <v>2.5</v>
      </c>
      <c r="G285" s="64">
        <v>2.5</v>
      </c>
      <c r="H285" s="66">
        <v>4.1399999999999997</v>
      </c>
      <c r="I285" s="67">
        <f>H285/G285</f>
        <v>1.6559999999999999</v>
      </c>
      <c r="J285" s="62" t="s">
        <v>27</v>
      </c>
    </row>
    <row r="286" spans="1:10" x14ac:dyDescent="0.25">
      <c r="A286" s="57" t="s">
        <v>83</v>
      </c>
      <c r="B286" s="294" t="s">
        <v>219</v>
      </c>
      <c r="C286" s="295"/>
      <c r="D286" s="295" t="s">
        <v>79</v>
      </c>
      <c r="E286" s="296"/>
      <c r="F286" s="58"/>
      <c r="G286" s="59"/>
      <c r="H286" s="60"/>
      <c r="I286" s="61"/>
      <c r="J286" s="62" t="s">
        <v>27</v>
      </c>
    </row>
    <row r="287" spans="1:10" s="208" customFormat="1" ht="30" x14ac:dyDescent="0.25">
      <c r="A287" s="57"/>
      <c r="B287" s="69"/>
      <c r="C287" s="63">
        <v>595</v>
      </c>
      <c r="D287" s="209" t="s">
        <v>459</v>
      </c>
      <c r="E287" s="70">
        <v>30</v>
      </c>
      <c r="F287" s="64">
        <v>-5</v>
      </c>
      <c r="G287" s="64">
        <v>-5</v>
      </c>
      <c r="H287" s="66">
        <v>-61</v>
      </c>
      <c r="I287" s="67">
        <f>H287/G287</f>
        <v>12.2</v>
      </c>
      <c r="J287" s="62" t="s">
        <v>27</v>
      </c>
    </row>
    <row r="288" spans="1:10" s="208" customFormat="1" x14ac:dyDescent="0.25">
      <c r="A288" s="57"/>
      <c r="B288" s="69"/>
      <c r="C288" s="63">
        <v>58</v>
      </c>
      <c r="D288" s="209" t="s">
        <v>440</v>
      </c>
      <c r="E288" s="70">
        <v>430</v>
      </c>
      <c r="F288" s="64">
        <v>425</v>
      </c>
      <c r="G288" s="64">
        <v>425</v>
      </c>
      <c r="H288" s="66">
        <v>369</v>
      </c>
      <c r="I288" s="67">
        <f>H288/G288</f>
        <v>0.86823529411764711</v>
      </c>
      <c r="J288" s="62" t="s">
        <v>27</v>
      </c>
    </row>
    <row r="289" spans="1:10" s="208" customFormat="1" x14ac:dyDescent="0.25">
      <c r="A289" s="57"/>
      <c r="B289" s="69"/>
      <c r="C289" s="63">
        <v>770</v>
      </c>
      <c r="D289" s="209" t="s">
        <v>442</v>
      </c>
      <c r="E289" s="70"/>
      <c r="F289" s="64">
        <v>30</v>
      </c>
      <c r="G289" s="64">
        <v>30</v>
      </c>
      <c r="H289" s="66">
        <v>30</v>
      </c>
      <c r="I289" s="67">
        <f>H289/G289</f>
        <v>1</v>
      </c>
      <c r="J289" s="62" t="s">
        <v>27</v>
      </c>
    </row>
    <row r="293" spans="1:10" ht="31.5" x14ac:dyDescent="0.25">
      <c r="A293" s="42" t="s">
        <v>29</v>
      </c>
      <c r="B293" s="43">
        <v>3600</v>
      </c>
      <c r="C293" s="44" t="s">
        <v>49</v>
      </c>
      <c r="D293" s="297" t="s">
        <v>114</v>
      </c>
      <c r="E293" s="298"/>
      <c r="F293" s="298"/>
      <c r="G293" s="298"/>
      <c r="H293" s="298"/>
      <c r="I293" s="299"/>
      <c r="J293" s="45" t="s">
        <v>45</v>
      </c>
    </row>
    <row r="294" spans="1:10" ht="15.75" x14ac:dyDescent="0.25">
      <c r="A294" s="46" t="s">
        <v>50</v>
      </c>
      <c r="B294" s="300" t="s">
        <v>460</v>
      </c>
      <c r="C294" s="301"/>
      <c r="D294" s="301"/>
      <c r="E294" s="301"/>
      <c r="F294" s="301"/>
      <c r="G294" s="301"/>
      <c r="H294" s="302"/>
      <c r="I294" s="303"/>
      <c r="J294" s="47" t="s">
        <v>39</v>
      </c>
    </row>
    <row r="295" spans="1:10" ht="15.75" x14ac:dyDescent="0.25">
      <c r="A295" s="48"/>
      <c r="B295" s="49"/>
      <c r="C295" s="50"/>
      <c r="D295" s="304" t="s">
        <v>79</v>
      </c>
      <c r="E295" s="304"/>
      <c r="F295" s="304"/>
      <c r="G295" s="304"/>
      <c r="H295" s="304"/>
      <c r="I295" s="304"/>
      <c r="J295" s="47" t="s">
        <v>27</v>
      </c>
    </row>
    <row r="296" spans="1:10" ht="51" x14ac:dyDescent="0.25">
      <c r="A296" s="51" t="s">
        <v>80</v>
      </c>
      <c r="B296" s="52"/>
      <c r="C296" s="53" t="s">
        <v>81</v>
      </c>
      <c r="D296" s="54" t="s">
        <v>82</v>
      </c>
      <c r="E296" s="53" t="s">
        <v>52</v>
      </c>
      <c r="F296" s="53" t="s">
        <v>53</v>
      </c>
      <c r="G296" s="53" t="s">
        <v>54</v>
      </c>
      <c r="H296" s="55" t="s">
        <v>55</v>
      </c>
      <c r="I296" s="56" t="s">
        <v>56</v>
      </c>
      <c r="J296" s="47" t="s">
        <v>27</v>
      </c>
    </row>
    <row r="297" spans="1:10" s="208" customFormat="1" x14ac:dyDescent="0.25">
      <c r="A297" s="57" t="s">
        <v>57</v>
      </c>
      <c r="B297" s="294" t="s">
        <v>223</v>
      </c>
      <c r="C297" s="295"/>
      <c r="D297" s="295"/>
      <c r="E297" s="296"/>
      <c r="F297" s="58"/>
      <c r="G297" s="59"/>
      <c r="H297" s="60"/>
      <c r="I297" s="61"/>
      <c r="J297" s="62" t="s">
        <v>27</v>
      </c>
    </row>
    <row r="298" spans="1:10" s="208" customFormat="1" ht="30" x14ac:dyDescent="0.25">
      <c r="A298" s="57"/>
      <c r="B298" s="69"/>
      <c r="C298" s="63">
        <v>25</v>
      </c>
      <c r="D298" s="209" t="s">
        <v>461</v>
      </c>
      <c r="E298" s="70">
        <v>100</v>
      </c>
      <c r="F298" s="64">
        <v>100</v>
      </c>
      <c r="G298" s="64">
        <v>100</v>
      </c>
      <c r="H298" s="66">
        <v>100</v>
      </c>
      <c r="I298" s="67">
        <f>H298/G298</f>
        <v>1</v>
      </c>
      <c r="J298" s="62" t="s">
        <v>27</v>
      </c>
    </row>
    <row r="299" spans="1:10" s="208" customFormat="1" x14ac:dyDescent="0.25">
      <c r="A299" s="57"/>
      <c r="B299" s="69"/>
      <c r="C299" s="63">
        <v>141</v>
      </c>
      <c r="D299" s="209" t="s">
        <v>444</v>
      </c>
      <c r="E299" s="70">
        <v>6</v>
      </c>
      <c r="F299" s="64">
        <v>8</v>
      </c>
      <c r="G299" s="64">
        <v>8</v>
      </c>
      <c r="H299" s="66">
        <v>8</v>
      </c>
      <c r="I299" s="67">
        <f>H299/G299</f>
        <v>1</v>
      </c>
      <c r="J299" s="62" t="s">
        <v>27</v>
      </c>
    </row>
  </sheetData>
  <mergeCells count="101">
    <mergeCell ref="B297:E297"/>
    <mergeCell ref="D83:I83"/>
    <mergeCell ref="B84:I84"/>
    <mergeCell ref="D85:I85"/>
    <mergeCell ref="B87:E87"/>
    <mergeCell ref="D93:I93"/>
    <mergeCell ref="B94:I94"/>
    <mergeCell ref="D95:I95"/>
    <mergeCell ref="B97:E97"/>
    <mergeCell ref="D53:I53"/>
    <mergeCell ref="B55:E55"/>
    <mergeCell ref="D66:I66"/>
    <mergeCell ref="B67:I67"/>
    <mergeCell ref="D68:I68"/>
    <mergeCell ref="B70:E70"/>
    <mergeCell ref="B77:E77"/>
    <mergeCell ref="A3:B3"/>
    <mergeCell ref="D6:I6"/>
    <mergeCell ref="B7:I7"/>
    <mergeCell ref="D8:I8"/>
    <mergeCell ref="B10:E10"/>
    <mergeCell ref="B14:E14"/>
    <mergeCell ref="B16:E16"/>
    <mergeCell ref="D30:I30"/>
    <mergeCell ref="B31:I31"/>
    <mergeCell ref="D32:I32"/>
    <mergeCell ref="B34:E34"/>
    <mergeCell ref="D42:I42"/>
    <mergeCell ref="B43:I43"/>
    <mergeCell ref="D44:I44"/>
    <mergeCell ref="D51:I51"/>
    <mergeCell ref="B52:I52"/>
    <mergeCell ref="B46:E46"/>
    <mergeCell ref="B209:E209"/>
    <mergeCell ref="D109:I109"/>
    <mergeCell ref="B110:I110"/>
    <mergeCell ref="D111:I111"/>
    <mergeCell ref="B113:E113"/>
    <mergeCell ref="D124:I124"/>
    <mergeCell ref="B125:I125"/>
    <mergeCell ref="D126:I126"/>
    <mergeCell ref="B128:E128"/>
    <mergeCell ref="D140:I140"/>
    <mergeCell ref="B141:I141"/>
    <mergeCell ref="D142:I142"/>
    <mergeCell ref="B144:E144"/>
    <mergeCell ref="D153:I153"/>
    <mergeCell ref="B154:I154"/>
    <mergeCell ref="D155:I155"/>
    <mergeCell ref="B157:E157"/>
    <mergeCell ref="B134:E134"/>
    <mergeCell ref="D234:I234"/>
    <mergeCell ref="B235:I235"/>
    <mergeCell ref="D236:I236"/>
    <mergeCell ref="B238:E238"/>
    <mergeCell ref="B240:E240"/>
    <mergeCell ref="B243:E243"/>
    <mergeCell ref="D248:I248"/>
    <mergeCell ref="B249:I249"/>
    <mergeCell ref="D169:I169"/>
    <mergeCell ref="B170:I170"/>
    <mergeCell ref="D171:I171"/>
    <mergeCell ref="B173:E173"/>
    <mergeCell ref="B178:E178"/>
    <mergeCell ref="D183:I183"/>
    <mergeCell ref="B184:I184"/>
    <mergeCell ref="D185:I185"/>
    <mergeCell ref="B187:E187"/>
    <mergeCell ref="D196:I196"/>
    <mergeCell ref="B197:I197"/>
    <mergeCell ref="D198:I198"/>
    <mergeCell ref="B200:E200"/>
    <mergeCell ref="D205:I205"/>
    <mergeCell ref="B206:I206"/>
    <mergeCell ref="D207:I207"/>
    <mergeCell ref="D214:I214"/>
    <mergeCell ref="B215:I215"/>
    <mergeCell ref="D216:I216"/>
    <mergeCell ref="B218:E218"/>
    <mergeCell ref="D223:I223"/>
    <mergeCell ref="B224:I224"/>
    <mergeCell ref="D225:I225"/>
    <mergeCell ref="B227:E227"/>
    <mergeCell ref="B286:E286"/>
    <mergeCell ref="D293:I293"/>
    <mergeCell ref="B294:I294"/>
    <mergeCell ref="D295:I295"/>
    <mergeCell ref="D250:I250"/>
    <mergeCell ref="B252:E252"/>
    <mergeCell ref="D259:I259"/>
    <mergeCell ref="B260:I260"/>
    <mergeCell ref="D261:I261"/>
    <mergeCell ref="B263:E263"/>
    <mergeCell ref="D268:I268"/>
    <mergeCell ref="B269:I269"/>
    <mergeCell ref="D270:I270"/>
    <mergeCell ref="B272:E272"/>
    <mergeCell ref="D280:I280"/>
    <mergeCell ref="B281:I281"/>
    <mergeCell ref="D282:I282"/>
    <mergeCell ref="B284:E2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48"/>
  <sheetViews>
    <sheetView workbookViewId="0">
      <selection activeCell="B7" sqref="B7:B9"/>
    </sheetView>
  </sheetViews>
  <sheetFormatPr defaultRowHeight="15" x14ac:dyDescent="0.25"/>
  <cols>
    <col min="1" max="1" width="11.140625" customWidth="1"/>
    <col min="2" max="2" width="63.7109375" customWidth="1"/>
  </cols>
  <sheetData>
    <row r="1" spans="1:19" ht="15.75" x14ac:dyDescent="0.25">
      <c r="A1" s="1" t="s">
        <v>84</v>
      </c>
      <c r="B1" s="71"/>
      <c r="C1" s="72"/>
      <c r="D1" s="71"/>
      <c r="E1" s="71"/>
      <c r="F1" s="71"/>
      <c r="G1" s="73"/>
      <c r="H1" s="73"/>
      <c r="I1" s="73"/>
      <c r="J1" s="71"/>
      <c r="K1" s="71"/>
      <c r="L1" s="71"/>
    </row>
    <row r="2" spans="1:19" x14ac:dyDescent="0.25">
      <c r="A2" s="74"/>
      <c r="B2" s="75"/>
      <c r="C2" s="75"/>
      <c r="D2" s="75"/>
      <c r="E2" s="75"/>
      <c r="F2" s="75"/>
      <c r="G2" s="76"/>
      <c r="H2" s="76"/>
      <c r="I2" s="76"/>
      <c r="J2" s="75"/>
      <c r="K2" s="113"/>
      <c r="L2" s="113"/>
    </row>
    <row r="3" spans="1:19" ht="22.5" x14ac:dyDescent="0.25">
      <c r="A3" s="88" t="s">
        <v>28</v>
      </c>
      <c r="B3" s="108" t="s">
        <v>18</v>
      </c>
      <c r="C3" s="89" t="s">
        <v>69</v>
      </c>
      <c r="D3" s="109">
        <v>1110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x14ac:dyDescent="0.25">
      <c r="A4" s="11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x14ac:dyDescent="0.25">
      <c r="A5" s="306" t="s">
        <v>85</v>
      </c>
      <c r="B5" s="307"/>
      <c r="C5" s="306"/>
      <c r="D5" s="307"/>
      <c r="E5" s="307"/>
      <c r="F5" s="78"/>
      <c r="G5" s="79"/>
      <c r="H5" s="79"/>
      <c r="I5" s="79"/>
      <c r="J5" s="78"/>
      <c r="K5" s="78"/>
      <c r="L5" s="78"/>
    </row>
    <row r="6" spans="1:19" x14ac:dyDescent="0.25">
      <c r="A6" s="80"/>
      <c r="B6" s="80"/>
      <c r="C6" s="81"/>
      <c r="D6" s="80"/>
      <c r="E6" s="81"/>
      <c r="F6" s="81"/>
      <c r="G6" s="82"/>
      <c r="H6" s="82"/>
      <c r="I6" s="82"/>
      <c r="J6" s="80"/>
      <c r="K6" s="80"/>
      <c r="L6" s="80"/>
    </row>
    <row r="7" spans="1:19" x14ac:dyDescent="0.25">
      <c r="A7" s="262" t="s">
        <v>60</v>
      </c>
      <c r="B7" s="262" t="s">
        <v>61</v>
      </c>
      <c r="C7" s="262" t="s">
        <v>86</v>
      </c>
      <c r="D7" s="262" t="s">
        <v>87</v>
      </c>
      <c r="E7" s="262" t="s">
        <v>88</v>
      </c>
      <c r="F7" s="262" t="s">
        <v>463</v>
      </c>
      <c r="G7" s="262" t="s">
        <v>465</v>
      </c>
      <c r="H7" s="262" t="s">
        <v>62</v>
      </c>
      <c r="I7" s="262" t="s">
        <v>63</v>
      </c>
      <c r="J7" s="262" t="s">
        <v>64</v>
      </c>
      <c r="K7" s="262" t="s">
        <v>45</v>
      </c>
      <c r="L7" s="80"/>
    </row>
    <row r="8" spans="1:19" ht="54.6" customHeight="1" x14ac:dyDescent="0.25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80"/>
    </row>
    <row r="9" spans="1:19" ht="29.25" customHeight="1" x14ac:dyDescent="0.25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80"/>
    </row>
    <row r="10" spans="1:19" ht="15" customHeight="1" x14ac:dyDescent="0.25">
      <c r="A10" s="107"/>
      <c r="B10" s="107" t="s">
        <v>462</v>
      </c>
      <c r="C10" s="107">
        <v>1650</v>
      </c>
      <c r="D10" s="107">
        <v>2021</v>
      </c>
      <c r="E10" s="107">
        <v>2024</v>
      </c>
      <c r="F10" s="107">
        <v>800</v>
      </c>
      <c r="G10" s="107">
        <v>800</v>
      </c>
      <c r="H10" s="107">
        <v>780</v>
      </c>
      <c r="I10" s="107">
        <v>780</v>
      </c>
      <c r="J10" s="107">
        <v>780</v>
      </c>
      <c r="K10" s="107"/>
    </row>
    <row r="11" spans="1:19" ht="15" customHeight="1" x14ac:dyDescent="0.25">
      <c r="A11" s="107">
        <v>1370186</v>
      </c>
      <c r="B11" s="107" t="s">
        <v>272</v>
      </c>
      <c r="C11" s="107">
        <v>133</v>
      </c>
      <c r="D11" s="107">
        <v>2021</v>
      </c>
      <c r="E11" s="107">
        <v>2022</v>
      </c>
      <c r="F11" s="107">
        <v>133</v>
      </c>
      <c r="G11" s="107">
        <v>133</v>
      </c>
      <c r="H11" s="107">
        <v>0</v>
      </c>
      <c r="I11" s="107">
        <v>0</v>
      </c>
      <c r="J11" s="107">
        <v>0</v>
      </c>
      <c r="K11" s="107"/>
    </row>
    <row r="12" spans="1:19" ht="15" customHeight="1" x14ac:dyDescent="0.25">
      <c r="A12" s="107">
        <v>1370296</v>
      </c>
      <c r="B12" s="107" t="s">
        <v>307</v>
      </c>
      <c r="C12" s="107">
        <v>3880</v>
      </c>
      <c r="D12" s="107">
        <v>2021</v>
      </c>
      <c r="E12" s="107">
        <v>2021</v>
      </c>
      <c r="F12" s="107">
        <v>3880</v>
      </c>
      <c r="G12" s="107">
        <v>3880</v>
      </c>
      <c r="H12" s="107">
        <v>3880</v>
      </c>
      <c r="I12" s="107">
        <v>3880</v>
      </c>
      <c r="J12" s="107">
        <v>3880</v>
      </c>
      <c r="K12" s="107"/>
    </row>
    <row r="15" spans="1:19" x14ac:dyDescent="0.25">
      <c r="A15" s="77" t="s">
        <v>89</v>
      </c>
      <c r="B15" s="78"/>
      <c r="C15" s="78"/>
      <c r="D15" s="78"/>
      <c r="E15" s="78"/>
      <c r="F15" s="78"/>
      <c r="G15" s="78"/>
      <c r="H15" s="79"/>
      <c r="I15" s="79"/>
      <c r="J15" s="78"/>
      <c r="K15" s="78"/>
      <c r="L15" s="78"/>
    </row>
    <row r="16" spans="1:19" ht="15.75" x14ac:dyDescent="0.25">
      <c r="A16" s="80"/>
      <c r="B16" s="80"/>
      <c r="C16" s="84"/>
      <c r="D16" s="85"/>
      <c r="E16" s="81"/>
      <c r="F16" s="81"/>
      <c r="G16" s="85"/>
      <c r="H16" s="86"/>
      <c r="I16" s="86"/>
      <c r="J16" s="80"/>
      <c r="K16" s="80"/>
      <c r="L16" s="80"/>
    </row>
    <row r="17" spans="1:19" x14ac:dyDescent="0.25">
      <c r="A17" s="262" t="s">
        <v>60</v>
      </c>
      <c r="B17" s="262" t="s">
        <v>61</v>
      </c>
      <c r="C17" s="262" t="s">
        <v>65</v>
      </c>
      <c r="D17" s="262" t="s">
        <v>86</v>
      </c>
      <c r="E17" s="262" t="s">
        <v>87</v>
      </c>
      <c r="F17" s="262" t="s">
        <v>90</v>
      </c>
      <c r="G17" s="262" t="s">
        <v>464</v>
      </c>
      <c r="H17" s="262" t="s">
        <v>465</v>
      </c>
      <c r="I17" s="262" t="s">
        <v>63</v>
      </c>
      <c r="J17" s="262" t="s">
        <v>62</v>
      </c>
      <c r="K17" s="262" t="s">
        <v>64</v>
      </c>
      <c r="L17" s="262" t="s">
        <v>45</v>
      </c>
    </row>
    <row r="18" spans="1:19" x14ac:dyDescent="0.25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</row>
    <row r="19" spans="1:19" ht="55.9" customHeight="1" x14ac:dyDescent="0.25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</row>
    <row r="20" spans="1:19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3" spans="1:19" ht="19.149999999999999" customHeight="1" x14ac:dyDescent="0.25">
      <c r="A23" s="262" t="s">
        <v>66</v>
      </c>
      <c r="B23" s="87" t="s">
        <v>20</v>
      </c>
      <c r="C23" s="114"/>
      <c r="D23" s="115"/>
      <c r="E23" s="262" t="s">
        <v>19</v>
      </c>
      <c r="F23" s="87" t="s">
        <v>20</v>
      </c>
      <c r="G23" s="263"/>
      <c r="H23" s="263"/>
    </row>
    <row r="24" spans="1:19" ht="21" customHeight="1" x14ac:dyDescent="0.25">
      <c r="A24" s="262"/>
      <c r="B24" s="87" t="s">
        <v>21</v>
      </c>
      <c r="C24" s="114"/>
      <c r="D24" s="115"/>
      <c r="E24" s="262"/>
      <c r="F24" s="87" t="s">
        <v>21</v>
      </c>
      <c r="G24" s="263"/>
      <c r="H24" s="263"/>
    </row>
    <row r="25" spans="1:19" ht="22.9" customHeight="1" x14ac:dyDescent="0.25">
      <c r="A25" s="262"/>
      <c r="B25" s="87" t="s">
        <v>22</v>
      </c>
      <c r="C25" s="114"/>
      <c r="D25" s="115"/>
      <c r="E25" s="262"/>
      <c r="F25" s="87" t="s">
        <v>22</v>
      </c>
      <c r="G25" s="263"/>
      <c r="H25" s="263"/>
    </row>
    <row r="28" spans="1:19" ht="22.5" x14ac:dyDescent="0.25">
      <c r="A28" s="88" t="s">
        <v>28</v>
      </c>
      <c r="B28" s="108" t="s">
        <v>94</v>
      </c>
      <c r="C28" s="89" t="s">
        <v>69</v>
      </c>
      <c r="D28" s="109">
        <v>1710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1:19" x14ac:dyDescent="0.25">
      <c r="A29" s="11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x14ac:dyDescent="0.25">
      <c r="A30" s="306" t="s">
        <v>85</v>
      </c>
      <c r="B30" s="307"/>
      <c r="C30" s="306"/>
      <c r="D30" s="307"/>
      <c r="E30" s="307"/>
      <c r="F30" s="78"/>
      <c r="G30" s="79"/>
      <c r="H30" s="79"/>
      <c r="I30" s="79"/>
      <c r="J30" s="78"/>
      <c r="K30" s="78"/>
      <c r="L30" s="78"/>
    </row>
    <row r="31" spans="1:19" x14ac:dyDescent="0.25">
      <c r="A31" s="80"/>
      <c r="B31" s="80"/>
      <c r="C31" s="81"/>
      <c r="D31" s="80"/>
      <c r="E31" s="81"/>
      <c r="F31" s="81"/>
      <c r="G31" s="82"/>
      <c r="H31" s="82"/>
      <c r="I31" s="82"/>
      <c r="J31" s="80"/>
      <c r="K31" s="80"/>
      <c r="L31" s="80"/>
    </row>
    <row r="32" spans="1:19" x14ac:dyDescent="0.25">
      <c r="A32" s="262" t="s">
        <v>60</v>
      </c>
      <c r="B32" s="262" t="s">
        <v>61</v>
      </c>
      <c r="C32" s="262" t="s">
        <v>86</v>
      </c>
      <c r="D32" s="262" t="s">
        <v>87</v>
      </c>
      <c r="E32" s="262" t="s">
        <v>88</v>
      </c>
      <c r="F32" s="262" t="s">
        <v>463</v>
      </c>
      <c r="G32" s="262" t="s">
        <v>465</v>
      </c>
      <c r="H32" s="262" t="s">
        <v>62</v>
      </c>
      <c r="I32" s="262" t="s">
        <v>63</v>
      </c>
      <c r="J32" s="262" t="s">
        <v>64</v>
      </c>
      <c r="K32" s="262" t="s">
        <v>45</v>
      </c>
      <c r="L32" s="80"/>
    </row>
    <row r="33" spans="1:12" ht="54.6" customHeight="1" x14ac:dyDescent="0.25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80"/>
    </row>
    <row r="34" spans="1:12" x14ac:dyDescent="0.2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80"/>
    </row>
    <row r="35" spans="1:12" ht="15" customHeight="1" x14ac:dyDescent="0.25">
      <c r="A35" s="107">
        <v>1370345</v>
      </c>
      <c r="B35" s="107" t="s">
        <v>273</v>
      </c>
      <c r="C35" s="107">
        <v>130000</v>
      </c>
      <c r="D35" s="107">
        <v>2021</v>
      </c>
      <c r="E35" s="107">
        <v>2024</v>
      </c>
      <c r="F35" s="107">
        <v>3000</v>
      </c>
      <c r="G35" s="107">
        <v>3000</v>
      </c>
      <c r="H35" s="107">
        <v>3000</v>
      </c>
      <c r="I35" s="107">
        <v>3000</v>
      </c>
      <c r="J35" s="107">
        <v>3000</v>
      </c>
      <c r="K35" s="107"/>
    </row>
    <row r="36" spans="1:12" ht="15" customHeight="1" x14ac:dyDescent="0.25">
      <c r="A36" s="107">
        <v>1370189</v>
      </c>
      <c r="B36" s="107" t="s">
        <v>273</v>
      </c>
      <c r="C36" s="107">
        <v>2422</v>
      </c>
      <c r="D36" s="107">
        <v>2021</v>
      </c>
      <c r="E36" s="107">
        <v>2021</v>
      </c>
      <c r="F36" s="107">
        <v>2422</v>
      </c>
      <c r="G36" s="107">
        <v>2422</v>
      </c>
      <c r="H36" s="107">
        <v>2422</v>
      </c>
      <c r="I36" s="107">
        <v>2422</v>
      </c>
      <c r="J36" s="107">
        <v>2422</v>
      </c>
      <c r="K36" s="107"/>
    </row>
    <row r="37" spans="1:12" x14ac:dyDescent="0.25">
      <c r="A37" s="83">
        <v>1370189</v>
      </c>
      <c r="B37" s="83" t="s">
        <v>273</v>
      </c>
      <c r="C37" s="83">
        <v>723</v>
      </c>
      <c r="D37" s="83">
        <v>2021</v>
      </c>
      <c r="E37" s="83">
        <v>2021</v>
      </c>
      <c r="F37" s="83">
        <v>723</v>
      </c>
      <c r="G37" s="83">
        <v>723</v>
      </c>
      <c r="H37" s="83">
        <v>723</v>
      </c>
      <c r="I37" s="83">
        <v>723</v>
      </c>
      <c r="J37" s="83">
        <v>723</v>
      </c>
      <c r="K37" s="83"/>
    </row>
    <row r="40" spans="1:12" x14ac:dyDescent="0.25">
      <c r="A40" s="77" t="s">
        <v>89</v>
      </c>
      <c r="B40" s="78"/>
      <c r="C40" s="78"/>
      <c r="D40" s="78"/>
      <c r="E40" s="78"/>
      <c r="F40" s="78"/>
      <c r="G40" s="78"/>
      <c r="H40" s="79"/>
      <c r="I40" s="79"/>
      <c r="J40" s="78"/>
      <c r="K40" s="78"/>
      <c r="L40" s="78"/>
    </row>
    <row r="41" spans="1:12" ht="15.75" x14ac:dyDescent="0.25">
      <c r="A41" s="80"/>
      <c r="B41" s="80"/>
      <c r="C41" s="84"/>
      <c r="D41" s="85"/>
      <c r="E41" s="81"/>
      <c r="F41" s="81"/>
      <c r="G41" s="85"/>
      <c r="H41" s="86"/>
      <c r="I41" s="86"/>
      <c r="J41" s="80"/>
      <c r="K41" s="80"/>
      <c r="L41" s="80"/>
    </row>
    <row r="42" spans="1:12" x14ac:dyDescent="0.25">
      <c r="A42" s="262" t="s">
        <v>60</v>
      </c>
      <c r="B42" s="262" t="s">
        <v>61</v>
      </c>
      <c r="C42" s="262" t="s">
        <v>65</v>
      </c>
      <c r="D42" s="262" t="s">
        <v>86</v>
      </c>
      <c r="E42" s="262" t="s">
        <v>87</v>
      </c>
      <c r="F42" s="262" t="s">
        <v>90</v>
      </c>
      <c r="G42" s="262" t="s">
        <v>464</v>
      </c>
      <c r="H42" s="262" t="s">
        <v>465</v>
      </c>
      <c r="I42" s="262" t="s">
        <v>63</v>
      </c>
      <c r="J42" s="262" t="s">
        <v>62</v>
      </c>
      <c r="K42" s="262" t="s">
        <v>64</v>
      </c>
      <c r="L42" s="262" t="s">
        <v>45</v>
      </c>
    </row>
    <row r="43" spans="1:12" x14ac:dyDescent="0.2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</row>
    <row r="44" spans="1:12" ht="55.9" customHeight="1" x14ac:dyDescent="0.2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</row>
    <row r="45" spans="1:12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8" spans="1:12" ht="19.149999999999999" customHeight="1" x14ac:dyDescent="0.25">
      <c r="A48" s="262" t="s">
        <v>66</v>
      </c>
      <c r="B48" s="87" t="s">
        <v>20</v>
      </c>
      <c r="C48" s="114"/>
      <c r="D48" s="115"/>
      <c r="E48" s="262" t="s">
        <v>19</v>
      </c>
      <c r="F48" s="87" t="s">
        <v>20</v>
      </c>
      <c r="G48" s="263"/>
      <c r="H48" s="263"/>
    </row>
    <row r="49" spans="1:19" ht="21" customHeight="1" x14ac:dyDescent="0.25">
      <c r="A49" s="262"/>
      <c r="B49" s="87" t="s">
        <v>21</v>
      </c>
      <c r="C49" s="114"/>
      <c r="D49" s="115"/>
      <c r="E49" s="262"/>
      <c r="F49" s="87" t="s">
        <v>21</v>
      </c>
      <c r="G49" s="263"/>
      <c r="H49" s="263"/>
    </row>
    <row r="50" spans="1:19" ht="22.9" customHeight="1" x14ac:dyDescent="0.25">
      <c r="A50" s="262"/>
      <c r="B50" s="87" t="s">
        <v>22</v>
      </c>
      <c r="C50" s="114"/>
      <c r="D50" s="115"/>
      <c r="E50" s="262"/>
      <c r="F50" s="87" t="s">
        <v>22</v>
      </c>
      <c r="G50" s="263"/>
      <c r="H50" s="263"/>
    </row>
    <row r="53" spans="1:19" ht="22.5" x14ac:dyDescent="0.25">
      <c r="A53" s="88" t="s">
        <v>28</v>
      </c>
      <c r="B53" s="108" t="s">
        <v>96</v>
      </c>
      <c r="C53" s="89" t="s">
        <v>69</v>
      </c>
      <c r="D53" s="109">
        <v>3280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x14ac:dyDescent="0.25">
      <c r="A54" s="11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x14ac:dyDescent="0.25">
      <c r="A55" s="306" t="s">
        <v>85</v>
      </c>
      <c r="B55" s="307"/>
      <c r="C55" s="306"/>
      <c r="D55" s="307"/>
      <c r="E55" s="307"/>
      <c r="F55" s="78"/>
      <c r="G55" s="79"/>
      <c r="H55" s="79"/>
      <c r="I55" s="79"/>
      <c r="J55" s="78"/>
      <c r="K55" s="78"/>
      <c r="L55" s="78"/>
    </row>
    <row r="56" spans="1:19" x14ac:dyDescent="0.25">
      <c r="A56" s="80"/>
      <c r="B56" s="80"/>
      <c r="C56" s="81"/>
      <c r="D56" s="80"/>
      <c r="E56" s="81"/>
      <c r="F56" s="81"/>
      <c r="G56" s="82"/>
      <c r="H56" s="82"/>
      <c r="I56" s="82"/>
      <c r="J56" s="80"/>
      <c r="K56" s="80"/>
      <c r="L56" s="80"/>
    </row>
    <row r="57" spans="1:19" x14ac:dyDescent="0.25">
      <c r="A57" s="262" t="s">
        <v>60</v>
      </c>
      <c r="B57" s="262" t="s">
        <v>61</v>
      </c>
      <c r="C57" s="262" t="s">
        <v>86</v>
      </c>
      <c r="D57" s="262" t="s">
        <v>87</v>
      </c>
      <c r="E57" s="262" t="s">
        <v>88</v>
      </c>
      <c r="F57" s="262" t="s">
        <v>463</v>
      </c>
      <c r="G57" s="262" t="s">
        <v>465</v>
      </c>
      <c r="H57" s="262" t="s">
        <v>62</v>
      </c>
      <c r="I57" s="262" t="s">
        <v>63</v>
      </c>
      <c r="J57" s="262" t="s">
        <v>64</v>
      </c>
      <c r="K57" s="262" t="s">
        <v>45</v>
      </c>
      <c r="L57" s="80"/>
    </row>
    <row r="58" spans="1:19" ht="54.6" customHeight="1" x14ac:dyDescent="0.25">
      <c r="A58" s="262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80"/>
    </row>
    <row r="59" spans="1:19" x14ac:dyDescent="0.25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80"/>
    </row>
    <row r="60" spans="1:19" ht="15" customHeight="1" x14ac:dyDescent="0.25">
      <c r="A60" s="107">
        <v>1370292</v>
      </c>
      <c r="B60" s="107" t="s">
        <v>334</v>
      </c>
      <c r="C60" s="107">
        <v>600</v>
      </c>
      <c r="D60" s="107">
        <v>2021</v>
      </c>
      <c r="E60" s="107">
        <v>2022</v>
      </c>
      <c r="F60" s="107">
        <v>382</v>
      </c>
      <c r="G60" s="107">
        <v>382</v>
      </c>
      <c r="H60" s="107">
        <v>224</v>
      </c>
      <c r="I60" s="107">
        <v>224</v>
      </c>
      <c r="J60" s="107">
        <v>224</v>
      </c>
      <c r="K60" s="107"/>
    </row>
    <row r="61" spans="1:19" x14ac:dyDescent="0.25">
      <c r="A61" s="83">
        <v>1370293</v>
      </c>
      <c r="B61" s="83" t="s">
        <v>335</v>
      </c>
      <c r="C61" s="83">
        <v>480</v>
      </c>
      <c r="D61" s="83">
        <v>2021</v>
      </c>
      <c r="E61" s="83">
        <v>2021</v>
      </c>
      <c r="F61" s="83">
        <v>480</v>
      </c>
      <c r="G61" s="83">
        <v>480</v>
      </c>
      <c r="H61" s="83">
        <v>122</v>
      </c>
      <c r="I61" s="83">
        <v>122</v>
      </c>
      <c r="J61" s="83">
        <v>122</v>
      </c>
      <c r="K61" s="83"/>
    </row>
    <row r="64" spans="1:19" x14ac:dyDescent="0.25">
      <c r="A64" s="77" t="s">
        <v>89</v>
      </c>
      <c r="B64" s="78"/>
      <c r="C64" s="78"/>
      <c r="D64" s="78"/>
      <c r="E64" s="78"/>
      <c r="F64" s="78"/>
      <c r="G64" s="78"/>
      <c r="H64" s="79"/>
      <c r="I64" s="79"/>
      <c r="J64" s="78"/>
      <c r="K64" s="78"/>
      <c r="L64" s="78"/>
    </row>
    <row r="65" spans="1:19" ht="15.75" x14ac:dyDescent="0.25">
      <c r="A65" s="80"/>
      <c r="B65" s="80"/>
      <c r="C65" s="84"/>
      <c r="D65" s="85"/>
      <c r="E65" s="81"/>
      <c r="F65" s="81"/>
      <c r="G65" s="85"/>
      <c r="H65" s="86"/>
      <c r="I65" s="86"/>
      <c r="J65" s="80"/>
      <c r="K65" s="80"/>
      <c r="L65" s="80"/>
    </row>
    <row r="66" spans="1:19" x14ac:dyDescent="0.25">
      <c r="A66" s="262" t="s">
        <v>60</v>
      </c>
      <c r="B66" s="262" t="s">
        <v>61</v>
      </c>
      <c r="C66" s="262" t="s">
        <v>65</v>
      </c>
      <c r="D66" s="262" t="s">
        <v>86</v>
      </c>
      <c r="E66" s="262" t="s">
        <v>87</v>
      </c>
      <c r="F66" s="262" t="s">
        <v>90</v>
      </c>
      <c r="G66" s="262" t="s">
        <v>464</v>
      </c>
      <c r="H66" s="262" t="s">
        <v>465</v>
      </c>
      <c r="I66" s="262" t="s">
        <v>63</v>
      </c>
      <c r="J66" s="262" t="s">
        <v>62</v>
      </c>
      <c r="K66" s="262" t="s">
        <v>64</v>
      </c>
      <c r="L66" s="262" t="s">
        <v>45</v>
      </c>
    </row>
    <row r="67" spans="1:19" x14ac:dyDescent="0.25">
      <c r="A67" s="262"/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</row>
    <row r="68" spans="1:19" ht="55.9" customHeight="1" x14ac:dyDescent="0.25">
      <c r="A68" s="262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</row>
    <row r="69" spans="1:19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</row>
    <row r="72" spans="1:19" ht="19.149999999999999" customHeight="1" x14ac:dyDescent="0.25">
      <c r="A72" s="262" t="s">
        <v>66</v>
      </c>
      <c r="B72" s="87" t="s">
        <v>20</v>
      </c>
      <c r="C72" s="114"/>
      <c r="D72" s="115"/>
      <c r="E72" s="262" t="s">
        <v>19</v>
      </c>
      <c r="F72" s="87" t="s">
        <v>20</v>
      </c>
      <c r="G72" s="263"/>
      <c r="H72" s="263"/>
    </row>
    <row r="73" spans="1:19" ht="21" customHeight="1" x14ac:dyDescent="0.25">
      <c r="A73" s="262"/>
      <c r="B73" s="87" t="s">
        <v>21</v>
      </c>
      <c r="C73" s="114"/>
      <c r="D73" s="115"/>
      <c r="E73" s="262"/>
      <c r="F73" s="87" t="s">
        <v>21</v>
      </c>
      <c r="G73" s="263"/>
      <c r="H73" s="263"/>
    </row>
    <row r="74" spans="1:19" ht="22.9" customHeight="1" x14ac:dyDescent="0.25">
      <c r="A74" s="262"/>
      <c r="B74" s="87" t="s">
        <v>22</v>
      </c>
      <c r="C74" s="114"/>
      <c r="D74" s="115"/>
      <c r="E74" s="262"/>
      <c r="F74" s="87" t="s">
        <v>22</v>
      </c>
      <c r="G74" s="263"/>
      <c r="H74" s="263"/>
    </row>
    <row r="77" spans="1:19" ht="22.5" x14ac:dyDescent="0.25">
      <c r="A77" s="88" t="s">
        <v>28</v>
      </c>
      <c r="B77" s="108" t="s">
        <v>98</v>
      </c>
      <c r="C77" s="89" t="s">
        <v>69</v>
      </c>
      <c r="D77" s="109">
        <v>4260</v>
      </c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</row>
    <row r="78" spans="1:19" x14ac:dyDescent="0.25">
      <c r="A78" s="11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x14ac:dyDescent="0.25">
      <c r="A79" s="306" t="s">
        <v>85</v>
      </c>
      <c r="B79" s="307"/>
      <c r="C79" s="306"/>
      <c r="D79" s="307"/>
      <c r="E79" s="307"/>
      <c r="F79" s="78"/>
      <c r="G79" s="79"/>
      <c r="H79" s="79"/>
      <c r="I79" s="79"/>
      <c r="J79" s="78"/>
      <c r="K79" s="78"/>
      <c r="L79" s="78"/>
    </row>
    <row r="80" spans="1:19" x14ac:dyDescent="0.25">
      <c r="A80" s="80"/>
      <c r="B80" s="80"/>
      <c r="C80" s="81"/>
      <c r="D80" s="80"/>
      <c r="E80" s="81"/>
      <c r="F80" s="81"/>
      <c r="G80" s="82"/>
      <c r="H80" s="82"/>
      <c r="I80" s="82"/>
      <c r="J80" s="80"/>
      <c r="K80" s="80"/>
      <c r="L80" s="80"/>
    </row>
    <row r="81" spans="1:12" x14ac:dyDescent="0.25">
      <c r="A81" s="262" t="s">
        <v>60</v>
      </c>
      <c r="B81" s="262" t="s">
        <v>61</v>
      </c>
      <c r="C81" s="262" t="s">
        <v>86</v>
      </c>
      <c r="D81" s="262" t="s">
        <v>87</v>
      </c>
      <c r="E81" s="262" t="s">
        <v>88</v>
      </c>
      <c r="F81" s="262" t="s">
        <v>463</v>
      </c>
      <c r="G81" s="262" t="s">
        <v>465</v>
      </c>
      <c r="H81" s="262" t="s">
        <v>62</v>
      </c>
      <c r="I81" s="262" t="s">
        <v>63</v>
      </c>
      <c r="J81" s="262" t="s">
        <v>64</v>
      </c>
      <c r="K81" s="262" t="s">
        <v>45</v>
      </c>
      <c r="L81" s="80"/>
    </row>
    <row r="82" spans="1:12" ht="54.6" customHeight="1" x14ac:dyDescent="0.25">
      <c r="A82" s="262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80"/>
    </row>
    <row r="83" spans="1:12" x14ac:dyDescent="0.25">
      <c r="A83" s="262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80"/>
    </row>
    <row r="84" spans="1:12" ht="15" customHeight="1" x14ac:dyDescent="0.25">
      <c r="A84" s="107">
        <v>1370313</v>
      </c>
      <c r="B84" s="107" t="s">
        <v>274</v>
      </c>
      <c r="C84" s="107">
        <v>2759</v>
      </c>
      <c r="D84" s="107">
        <v>2021</v>
      </c>
      <c r="E84" s="107">
        <v>2024</v>
      </c>
      <c r="F84" s="107">
        <v>1179</v>
      </c>
      <c r="G84" s="107">
        <v>1179</v>
      </c>
      <c r="H84" s="107">
        <v>828</v>
      </c>
      <c r="I84" s="107">
        <v>828</v>
      </c>
      <c r="J84" s="107">
        <v>828</v>
      </c>
      <c r="K84" s="107"/>
    </row>
    <row r="85" spans="1:12" x14ac:dyDescent="0.2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8" spans="1:12" x14ac:dyDescent="0.25">
      <c r="A88" s="77" t="s">
        <v>89</v>
      </c>
      <c r="B88" s="78"/>
      <c r="C88" s="78"/>
      <c r="D88" s="78"/>
      <c r="E88" s="78"/>
      <c r="F88" s="78"/>
      <c r="G88" s="78"/>
      <c r="H88" s="79"/>
      <c r="I88" s="79"/>
      <c r="J88" s="78"/>
      <c r="K88" s="78"/>
      <c r="L88" s="78"/>
    </row>
    <row r="89" spans="1:12" ht="15.75" x14ac:dyDescent="0.25">
      <c r="A89" s="80"/>
      <c r="B89" s="80"/>
      <c r="C89" s="84"/>
      <c r="D89" s="85"/>
      <c r="E89" s="81"/>
      <c r="F89" s="81"/>
      <c r="G89" s="85"/>
      <c r="H89" s="86"/>
      <c r="I89" s="86"/>
      <c r="J89" s="80"/>
      <c r="K89" s="80"/>
      <c r="L89" s="80"/>
    </row>
    <row r="90" spans="1:12" x14ac:dyDescent="0.25">
      <c r="A90" s="262" t="s">
        <v>60</v>
      </c>
      <c r="B90" s="262" t="s">
        <v>61</v>
      </c>
      <c r="C90" s="262" t="s">
        <v>65</v>
      </c>
      <c r="D90" s="262" t="s">
        <v>86</v>
      </c>
      <c r="E90" s="262" t="s">
        <v>87</v>
      </c>
      <c r="F90" s="262" t="s">
        <v>90</v>
      </c>
      <c r="G90" s="262" t="s">
        <v>464</v>
      </c>
      <c r="H90" s="262" t="s">
        <v>465</v>
      </c>
      <c r="I90" s="262" t="s">
        <v>63</v>
      </c>
      <c r="J90" s="262" t="s">
        <v>62</v>
      </c>
      <c r="K90" s="262" t="s">
        <v>64</v>
      </c>
      <c r="L90" s="262" t="s">
        <v>45</v>
      </c>
    </row>
    <row r="91" spans="1:12" x14ac:dyDescent="0.25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</row>
    <row r="92" spans="1:12" ht="55.9" customHeight="1" x14ac:dyDescent="0.25">
      <c r="A92" s="262"/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</row>
    <row r="93" spans="1:12" x14ac:dyDescent="0.2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</row>
    <row r="96" spans="1:12" ht="19.149999999999999" customHeight="1" x14ac:dyDescent="0.25">
      <c r="A96" s="262" t="s">
        <v>66</v>
      </c>
      <c r="B96" s="87" t="s">
        <v>20</v>
      </c>
      <c r="C96" s="114"/>
      <c r="D96" s="115"/>
      <c r="E96" s="262" t="s">
        <v>19</v>
      </c>
      <c r="F96" s="87" t="s">
        <v>20</v>
      </c>
      <c r="G96" s="263"/>
      <c r="H96" s="263"/>
    </row>
    <row r="97" spans="1:19" ht="21" customHeight="1" x14ac:dyDescent="0.25">
      <c r="A97" s="262"/>
      <c r="B97" s="87" t="s">
        <v>21</v>
      </c>
      <c r="C97" s="114"/>
      <c r="D97" s="115"/>
      <c r="E97" s="262"/>
      <c r="F97" s="87" t="s">
        <v>21</v>
      </c>
      <c r="G97" s="263"/>
      <c r="H97" s="263"/>
    </row>
    <row r="98" spans="1:19" ht="22.9" customHeight="1" x14ac:dyDescent="0.25">
      <c r="A98" s="262"/>
      <c r="B98" s="87" t="s">
        <v>22</v>
      </c>
      <c r="C98" s="114"/>
      <c r="D98" s="115"/>
      <c r="E98" s="262"/>
      <c r="F98" s="87" t="s">
        <v>22</v>
      </c>
      <c r="G98" s="263"/>
      <c r="H98" s="263"/>
    </row>
    <row r="101" spans="1:19" ht="22.5" x14ac:dyDescent="0.25">
      <c r="A101" s="88" t="s">
        <v>28</v>
      </c>
      <c r="B101" s="108" t="s">
        <v>100</v>
      </c>
      <c r="C101" s="89" t="s">
        <v>69</v>
      </c>
      <c r="D101" s="109">
        <v>4520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</row>
    <row r="102" spans="1:19" x14ac:dyDescent="0.25">
      <c r="A102" s="11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x14ac:dyDescent="0.25">
      <c r="A103" s="306" t="s">
        <v>85</v>
      </c>
      <c r="B103" s="307"/>
      <c r="C103" s="306"/>
      <c r="D103" s="307"/>
      <c r="E103" s="307"/>
      <c r="F103" s="78"/>
      <c r="G103" s="79"/>
      <c r="H103" s="79"/>
      <c r="I103" s="79"/>
      <c r="J103" s="78"/>
      <c r="K103" s="78"/>
      <c r="L103" s="78"/>
    </row>
    <row r="104" spans="1:19" x14ac:dyDescent="0.25">
      <c r="A104" s="80"/>
      <c r="B104" s="80"/>
      <c r="C104" s="81"/>
      <c r="D104" s="80"/>
      <c r="E104" s="81"/>
      <c r="F104" s="81"/>
      <c r="G104" s="82"/>
      <c r="H104" s="82"/>
      <c r="I104" s="82"/>
      <c r="J104" s="80"/>
      <c r="K104" s="80"/>
      <c r="L104" s="80"/>
    </row>
    <row r="105" spans="1:19" x14ac:dyDescent="0.25">
      <c r="A105" s="262" t="s">
        <v>60</v>
      </c>
      <c r="B105" s="262" t="s">
        <v>61</v>
      </c>
      <c r="C105" s="262" t="s">
        <v>86</v>
      </c>
      <c r="D105" s="262" t="s">
        <v>87</v>
      </c>
      <c r="E105" s="262" t="s">
        <v>88</v>
      </c>
      <c r="F105" s="262" t="s">
        <v>463</v>
      </c>
      <c r="G105" s="262" t="s">
        <v>465</v>
      </c>
      <c r="H105" s="262" t="s">
        <v>62</v>
      </c>
      <c r="I105" s="262" t="s">
        <v>63</v>
      </c>
      <c r="J105" s="262" t="s">
        <v>64</v>
      </c>
      <c r="K105" s="262" t="s">
        <v>45</v>
      </c>
      <c r="L105" s="80"/>
    </row>
    <row r="106" spans="1:19" ht="54.6" customHeight="1" x14ac:dyDescent="0.25">
      <c r="A106" s="262"/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80"/>
    </row>
    <row r="107" spans="1:19" x14ac:dyDescent="0.25">
      <c r="A107" s="262"/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80"/>
    </row>
    <row r="108" spans="1:19" ht="15" customHeight="1" x14ac:dyDescent="0.25">
      <c r="A108" s="107">
        <v>1370195</v>
      </c>
      <c r="B108" s="107" t="s">
        <v>466</v>
      </c>
      <c r="C108" s="107">
        <v>650</v>
      </c>
      <c r="D108" s="107">
        <v>2021</v>
      </c>
      <c r="E108" s="107">
        <v>2022</v>
      </c>
      <c r="F108" s="107">
        <v>650</v>
      </c>
      <c r="G108" s="107">
        <v>650</v>
      </c>
      <c r="H108" s="107">
        <v>0</v>
      </c>
      <c r="I108" s="107">
        <v>0</v>
      </c>
      <c r="J108" s="107">
        <v>0</v>
      </c>
      <c r="K108" s="107"/>
    </row>
    <row r="109" spans="1:19" s="208" customFormat="1" ht="15" customHeight="1" x14ac:dyDescent="0.25">
      <c r="A109" s="107">
        <v>1370204</v>
      </c>
      <c r="B109" s="107" t="s">
        <v>303</v>
      </c>
      <c r="C109" s="107">
        <v>93</v>
      </c>
      <c r="D109" s="107">
        <v>2021</v>
      </c>
      <c r="E109" s="107">
        <v>2021</v>
      </c>
      <c r="F109" s="107">
        <v>93</v>
      </c>
      <c r="G109" s="107">
        <v>93</v>
      </c>
      <c r="H109" s="107">
        <v>0</v>
      </c>
      <c r="I109" s="107">
        <v>0</v>
      </c>
      <c r="J109" s="107">
        <v>0</v>
      </c>
      <c r="K109" s="107"/>
    </row>
    <row r="110" spans="1:19" s="208" customFormat="1" ht="15" customHeight="1" x14ac:dyDescent="0.25">
      <c r="A110" s="107">
        <v>1370205</v>
      </c>
      <c r="B110" s="107" t="s">
        <v>467</v>
      </c>
      <c r="C110" s="107">
        <v>130</v>
      </c>
      <c r="D110" s="107">
        <v>2021</v>
      </c>
      <c r="E110" s="107">
        <v>2021</v>
      </c>
      <c r="F110" s="107">
        <v>130</v>
      </c>
      <c r="G110" s="107">
        <v>130</v>
      </c>
      <c r="H110" s="107">
        <v>0</v>
      </c>
      <c r="I110" s="107">
        <v>0</v>
      </c>
      <c r="J110" s="107">
        <v>0</v>
      </c>
      <c r="K110" s="107"/>
    </row>
    <row r="111" spans="1:19" s="208" customFormat="1" ht="15" customHeight="1" x14ac:dyDescent="0.25">
      <c r="A111" s="107">
        <v>1370297</v>
      </c>
      <c r="B111" s="107" t="s">
        <v>308</v>
      </c>
      <c r="C111" s="107">
        <v>86</v>
      </c>
      <c r="D111" s="107">
        <v>2021</v>
      </c>
      <c r="E111" s="107">
        <v>2021</v>
      </c>
      <c r="F111" s="107">
        <v>86</v>
      </c>
      <c r="G111" s="107">
        <v>86</v>
      </c>
      <c r="H111" s="107">
        <v>0</v>
      </c>
      <c r="I111" s="107">
        <v>0</v>
      </c>
      <c r="J111" s="107">
        <v>0</v>
      </c>
      <c r="K111" s="107"/>
    </row>
    <row r="112" spans="1:19" s="208" customFormat="1" ht="15" customHeight="1" x14ac:dyDescent="0.25">
      <c r="A112" s="107">
        <v>1370298</v>
      </c>
      <c r="B112" s="107" t="s">
        <v>309</v>
      </c>
      <c r="C112" s="107">
        <v>68</v>
      </c>
      <c r="D112" s="107">
        <v>2021</v>
      </c>
      <c r="E112" s="107">
        <v>2021</v>
      </c>
      <c r="F112" s="107">
        <v>68</v>
      </c>
      <c r="G112" s="107">
        <v>68</v>
      </c>
      <c r="H112" s="107">
        <v>0</v>
      </c>
      <c r="I112" s="107">
        <v>0</v>
      </c>
      <c r="J112" s="107">
        <v>0</v>
      </c>
      <c r="K112" s="107"/>
    </row>
    <row r="113" spans="1:11" s="208" customFormat="1" ht="15" customHeight="1" x14ac:dyDescent="0.25">
      <c r="A113" s="107">
        <v>1370299</v>
      </c>
      <c r="B113" s="107" t="s">
        <v>310</v>
      </c>
      <c r="C113" s="107">
        <v>262</v>
      </c>
      <c r="D113" s="107">
        <v>2021</v>
      </c>
      <c r="E113" s="107">
        <v>2021</v>
      </c>
      <c r="F113" s="107">
        <v>262</v>
      </c>
      <c r="G113" s="107">
        <v>262</v>
      </c>
      <c r="H113" s="107">
        <v>0</v>
      </c>
      <c r="I113" s="107">
        <v>0</v>
      </c>
      <c r="J113" s="107">
        <v>0</v>
      </c>
      <c r="K113" s="107"/>
    </row>
    <row r="114" spans="1:11" s="208" customFormat="1" ht="15" customHeight="1" x14ac:dyDescent="0.25">
      <c r="A114" s="107">
        <v>1370300</v>
      </c>
      <c r="B114" s="107" t="s">
        <v>311</v>
      </c>
      <c r="C114" s="107">
        <v>50</v>
      </c>
      <c r="D114" s="107">
        <v>2021</v>
      </c>
      <c r="E114" s="107">
        <v>2021</v>
      </c>
      <c r="F114" s="107">
        <v>50</v>
      </c>
      <c r="G114" s="107">
        <v>50</v>
      </c>
      <c r="H114" s="107">
        <v>0</v>
      </c>
      <c r="I114" s="107">
        <v>0</v>
      </c>
      <c r="J114" s="107">
        <v>0</v>
      </c>
      <c r="K114" s="107"/>
    </row>
    <row r="115" spans="1:11" s="208" customFormat="1" ht="15" customHeight="1" x14ac:dyDescent="0.25">
      <c r="A115" s="107">
        <v>1370301</v>
      </c>
      <c r="B115" s="107" t="s">
        <v>312</v>
      </c>
      <c r="C115" s="107">
        <v>200</v>
      </c>
      <c r="D115" s="107">
        <v>2021</v>
      </c>
      <c r="E115" s="107">
        <v>2021</v>
      </c>
      <c r="F115" s="107">
        <v>200</v>
      </c>
      <c r="G115" s="107">
        <v>200</v>
      </c>
      <c r="H115" s="107">
        <v>192</v>
      </c>
      <c r="I115" s="107">
        <v>192</v>
      </c>
      <c r="J115" s="107">
        <v>192</v>
      </c>
      <c r="K115" s="107"/>
    </row>
    <row r="116" spans="1:11" s="208" customFormat="1" ht="15" customHeight="1" x14ac:dyDescent="0.25">
      <c r="A116" s="107">
        <v>1370302</v>
      </c>
      <c r="B116" s="107" t="s">
        <v>468</v>
      </c>
      <c r="C116" s="107">
        <v>208</v>
      </c>
      <c r="D116" s="107">
        <v>2021</v>
      </c>
      <c r="E116" s="107">
        <v>2021</v>
      </c>
      <c r="F116" s="107">
        <v>208</v>
      </c>
      <c r="G116" s="107">
        <v>208</v>
      </c>
      <c r="H116" s="107">
        <v>0</v>
      </c>
      <c r="I116" s="107">
        <v>0</v>
      </c>
      <c r="J116" s="107">
        <v>0</v>
      </c>
      <c r="K116" s="107"/>
    </row>
    <row r="117" spans="1:11" s="208" customFormat="1" ht="15" customHeight="1" x14ac:dyDescent="0.25">
      <c r="A117" s="107">
        <v>1370303</v>
      </c>
      <c r="B117" s="107" t="s">
        <v>313</v>
      </c>
      <c r="C117" s="107">
        <v>200</v>
      </c>
      <c r="D117" s="107">
        <v>2021</v>
      </c>
      <c r="E117" s="107">
        <v>2021</v>
      </c>
      <c r="F117" s="107">
        <v>200</v>
      </c>
      <c r="G117" s="107">
        <v>200</v>
      </c>
      <c r="H117" s="107">
        <v>0</v>
      </c>
      <c r="I117" s="107">
        <v>0</v>
      </c>
      <c r="J117" s="107">
        <v>0</v>
      </c>
      <c r="K117" s="107"/>
    </row>
    <row r="118" spans="1:11" s="208" customFormat="1" ht="15" customHeight="1" x14ac:dyDescent="0.25">
      <c r="A118" s="107">
        <v>1370304</v>
      </c>
      <c r="B118" s="107" t="s">
        <v>314</v>
      </c>
      <c r="C118" s="107">
        <v>60</v>
      </c>
      <c r="D118" s="107">
        <v>2021</v>
      </c>
      <c r="E118" s="107">
        <v>2021</v>
      </c>
      <c r="F118" s="107">
        <v>60</v>
      </c>
      <c r="G118" s="107">
        <v>60</v>
      </c>
      <c r="H118" s="107">
        <v>0</v>
      </c>
      <c r="I118" s="107">
        <v>0</v>
      </c>
      <c r="J118" s="107">
        <v>0</v>
      </c>
      <c r="K118" s="107"/>
    </row>
    <row r="119" spans="1:11" s="208" customFormat="1" ht="15" customHeight="1" x14ac:dyDescent="0.25">
      <c r="A119" s="107">
        <v>1370305</v>
      </c>
      <c r="B119" s="107" t="s">
        <v>315</v>
      </c>
      <c r="C119" s="107">
        <v>102</v>
      </c>
      <c r="D119" s="107">
        <v>2021</v>
      </c>
      <c r="E119" s="107">
        <v>2021</v>
      </c>
      <c r="F119" s="107">
        <v>102</v>
      </c>
      <c r="G119" s="107">
        <v>102</v>
      </c>
      <c r="H119" s="107">
        <v>0</v>
      </c>
      <c r="I119" s="107">
        <v>0</v>
      </c>
      <c r="J119" s="107">
        <v>0</v>
      </c>
      <c r="K119" s="107"/>
    </row>
    <row r="120" spans="1:11" s="208" customFormat="1" ht="15" customHeight="1" x14ac:dyDescent="0.25">
      <c r="A120" s="107">
        <v>1370306</v>
      </c>
      <c r="B120" s="107" t="s">
        <v>469</v>
      </c>
      <c r="C120" s="107">
        <v>98</v>
      </c>
      <c r="D120" s="107">
        <v>2021</v>
      </c>
      <c r="E120" s="107">
        <v>2021</v>
      </c>
      <c r="F120" s="107">
        <v>98</v>
      </c>
      <c r="G120" s="107">
        <v>98</v>
      </c>
      <c r="H120" s="107">
        <v>0</v>
      </c>
      <c r="I120" s="107">
        <v>0</v>
      </c>
      <c r="J120" s="107">
        <v>0</v>
      </c>
      <c r="K120" s="107"/>
    </row>
    <row r="121" spans="1:11" s="208" customFormat="1" ht="15" customHeight="1" x14ac:dyDescent="0.25">
      <c r="A121" s="107">
        <v>1370307</v>
      </c>
      <c r="B121" s="107" t="s">
        <v>316</v>
      </c>
      <c r="C121" s="107">
        <v>98</v>
      </c>
      <c r="D121" s="107">
        <v>2021</v>
      </c>
      <c r="E121" s="107">
        <v>2021</v>
      </c>
      <c r="F121" s="107">
        <v>98</v>
      </c>
      <c r="G121" s="107">
        <v>98</v>
      </c>
      <c r="H121" s="107">
        <v>98</v>
      </c>
      <c r="I121" s="107">
        <v>98</v>
      </c>
      <c r="J121" s="107">
        <v>98</v>
      </c>
      <c r="K121" s="107"/>
    </row>
    <row r="122" spans="1:11" s="208" customFormat="1" ht="15" customHeight="1" x14ac:dyDescent="0.25">
      <c r="A122" s="107">
        <v>1370308</v>
      </c>
      <c r="B122" s="107" t="s">
        <v>317</v>
      </c>
      <c r="C122" s="107">
        <v>120</v>
      </c>
      <c r="D122" s="107">
        <v>2021</v>
      </c>
      <c r="E122" s="107">
        <v>2021</v>
      </c>
      <c r="F122" s="107">
        <v>120</v>
      </c>
      <c r="G122" s="107">
        <v>120</v>
      </c>
      <c r="H122" s="107">
        <v>0</v>
      </c>
      <c r="I122" s="107">
        <v>0</v>
      </c>
      <c r="J122" s="107">
        <v>0</v>
      </c>
      <c r="K122" s="107"/>
    </row>
    <row r="123" spans="1:11" s="208" customFormat="1" ht="15" customHeight="1" x14ac:dyDescent="0.25">
      <c r="A123" s="107">
        <v>1370309</v>
      </c>
      <c r="B123" s="107" t="s">
        <v>318</v>
      </c>
      <c r="C123" s="107">
        <v>93</v>
      </c>
      <c r="D123" s="107">
        <v>2021</v>
      </c>
      <c r="E123" s="107">
        <v>2021</v>
      </c>
      <c r="F123" s="107">
        <v>93</v>
      </c>
      <c r="G123" s="107">
        <v>93</v>
      </c>
      <c r="H123" s="107">
        <v>0</v>
      </c>
      <c r="I123" s="107">
        <v>0</v>
      </c>
      <c r="J123" s="107">
        <v>0</v>
      </c>
      <c r="K123" s="107"/>
    </row>
    <row r="124" spans="1:11" s="208" customFormat="1" ht="15" customHeight="1" x14ac:dyDescent="0.25">
      <c r="A124" s="107">
        <v>1370310</v>
      </c>
      <c r="B124" s="107" t="s">
        <v>319</v>
      </c>
      <c r="C124" s="107">
        <v>712</v>
      </c>
      <c r="D124" s="107">
        <v>2021</v>
      </c>
      <c r="E124" s="107">
        <v>2021</v>
      </c>
      <c r="F124" s="107">
        <v>712</v>
      </c>
      <c r="G124" s="107">
        <v>712</v>
      </c>
      <c r="H124" s="107">
        <v>695</v>
      </c>
      <c r="I124" s="107">
        <v>695</v>
      </c>
      <c r="J124" s="107">
        <v>695</v>
      </c>
      <c r="K124" s="107"/>
    </row>
    <row r="125" spans="1:11" s="208" customFormat="1" ht="15" customHeight="1" x14ac:dyDescent="0.25">
      <c r="A125" s="107">
        <v>1370311</v>
      </c>
      <c r="B125" s="107" t="s">
        <v>320</v>
      </c>
      <c r="C125" s="107">
        <v>235</v>
      </c>
      <c r="D125" s="107">
        <v>2021</v>
      </c>
      <c r="E125" s="107">
        <v>2021</v>
      </c>
      <c r="F125" s="107">
        <v>235</v>
      </c>
      <c r="G125" s="107">
        <v>235</v>
      </c>
      <c r="H125" s="107">
        <v>0</v>
      </c>
      <c r="I125" s="107">
        <v>0</v>
      </c>
      <c r="J125" s="107">
        <v>0</v>
      </c>
      <c r="K125" s="107"/>
    </row>
    <row r="126" spans="1:11" s="208" customFormat="1" ht="15" customHeight="1" x14ac:dyDescent="0.25">
      <c r="A126" s="107">
        <v>1370260</v>
      </c>
      <c r="B126" s="107" t="s">
        <v>321</v>
      </c>
      <c r="C126" s="107">
        <v>6611</v>
      </c>
      <c r="D126" s="107">
        <v>2021</v>
      </c>
      <c r="E126" s="107">
        <v>2021</v>
      </c>
      <c r="F126" s="107">
        <v>6611</v>
      </c>
      <c r="G126" s="107">
        <v>6611</v>
      </c>
      <c r="H126" s="107">
        <v>0</v>
      </c>
      <c r="I126" s="107">
        <v>0</v>
      </c>
      <c r="J126" s="107">
        <v>0</v>
      </c>
      <c r="K126" s="107"/>
    </row>
    <row r="129" spans="1:19" x14ac:dyDescent="0.25">
      <c r="A129" s="77" t="s">
        <v>89</v>
      </c>
      <c r="B129" s="78"/>
      <c r="C129" s="78"/>
      <c r="D129" s="78"/>
      <c r="E129" s="78"/>
      <c r="F129" s="78"/>
      <c r="G129" s="78"/>
      <c r="H129" s="79"/>
      <c r="I129" s="79"/>
      <c r="J129" s="78"/>
      <c r="K129" s="78"/>
      <c r="L129" s="78"/>
    </row>
    <row r="130" spans="1:19" ht="15.75" x14ac:dyDescent="0.25">
      <c r="A130" s="80"/>
      <c r="B130" s="80"/>
      <c r="C130" s="84"/>
      <c r="D130" s="85"/>
      <c r="E130" s="81"/>
      <c r="F130" s="81"/>
      <c r="G130" s="85"/>
      <c r="H130" s="86"/>
      <c r="I130" s="86"/>
      <c r="J130" s="80"/>
      <c r="K130" s="80"/>
      <c r="L130" s="80"/>
    </row>
    <row r="131" spans="1:19" x14ac:dyDescent="0.25">
      <c r="A131" s="262" t="s">
        <v>60</v>
      </c>
      <c r="B131" s="262" t="s">
        <v>61</v>
      </c>
      <c r="C131" s="262" t="s">
        <v>65</v>
      </c>
      <c r="D131" s="262" t="s">
        <v>86</v>
      </c>
      <c r="E131" s="262" t="s">
        <v>87</v>
      </c>
      <c r="F131" s="262" t="s">
        <v>90</v>
      </c>
      <c r="G131" s="262" t="s">
        <v>464</v>
      </c>
      <c r="H131" s="262" t="s">
        <v>465</v>
      </c>
      <c r="I131" s="262" t="s">
        <v>63</v>
      </c>
      <c r="J131" s="262" t="s">
        <v>62</v>
      </c>
      <c r="K131" s="262" t="s">
        <v>64</v>
      </c>
      <c r="L131" s="262" t="s">
        <v>45</v>
      </c>
    </row>
    <row r="132" spans="1:19" x14ac:dyDescent="0.25">
      <c r="A132" s="262"/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</row>
    <row r="133" spans="1:19" ht="55.9" customHeight="1" x14ac:dyDescent="0.25">
      <c r="A133" s="262"/>
      <c r="B133" s="26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</row>
    <row r="134" spans="1:19" x14ac:dyDescent="0.2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</row>
    <row r="137" spans="1:19" ht="19.149999999999999" customHeight="1" x14ac:dyDescent="0.25">
      <c r="A137" s="262" t="s">
        <v>66</v>
      </c>
      <c r="B137" s="87" t="s">
        <v>20</v>
      </c>
      <c r="C137" s="114"/>
      <c r="D137" s="115"/>
      <c r="E137" s="262" t="s">
        <v>19</v>
      </c>
      <c r="F137" s="87" t="s">
        <v>20</v>
      </c>
      <c r="G137" s="263"/>
      <c r="H137" s="263"/>
    </row>
    <row r="138" spans="1:19" ht="21" customHeight="1" x14ac:dyDescent="0.25">
      <c r="A138" s="262"/>
      <c r="B138" s="87" t="s">
        <v>21</v>
      </c>
      <c r="C138" s="114"/>
      <c r="D138" s="115"/>
      <c r="E138" s="262"/>
      <c r="F138" s="87" t="s">
        <v>21</v>
      </c>
      <c r="G138" s="263"/>
      <c r="H138" s="263"/>
    </row>
    <row r="139" spans="1:19" ht="22.9" customHeight="1" x14ac:dyDescent="0.25">
      <c r="A139" s="262"/>
      <c r="B139" s="87" t="s">
        <v>22</v>
      </c>
      <c r="C139" s="114"/>
      <c r="D139" s="115"/>
      <c r="E139" s="262"/>
      <c r="F139" s="87" t="s">
        <v>22</v>
      </c>
      <c r="G139" s="263"/>
      <c r="H139" s="263"/>
    </row>
    <row r="142" spans="1:19" ht="22.5" x14ac:dyDescent="0.25">
      <c r="A142" s="88" t="s">
        <v>28</v>
      </c>
      <c r="B142" s="108" t="s">
        <v>102</v>
      </c>
      <c r="C142" s="89" t="s">
        <v>69</v>
      </c>
      <c r="D142" s="109">
        <v>6260</v>
      </c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1:19" x14ac:dyDescent="0.25">
      <c r="A143" s="11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x14ac:dyDescent="0.25">
      <c r="A144" s="306" t="s">
        <v>85</v>
      </c>
      <c r="B144" s="307"/>
      <c r="C144" s="306"/>
      <c r="D144" s="307"/>
      <c r="E144" s="307"/>
      <c r="F144" s="78"/>
      <c r="G144" s="79"/>
      <c r="H144" s="79"/>
      <c r="I144" s="79"/>
      <c r="J144" s="78"/>
      <c r="K144" s="78"/>
      <c r="L144" s="78"/>
    </row>
    <row r="145" spans="1:12" x14ac:dyDescent="0.25">
      <c r="A145" s="80"/>
      <c r="B145" s="80"/>
      <c r="C145" s="81"/>
      <c r="D145" s="80"/>
      <c r="E145" s="81"/>
      <c r="F145" s="81"/>
      <c r="G145" s="82"/>
      <c r="H145" s="82"/>
      <c r="I145" s="82"/>
      <c r="J145" s="80"/>
      <c r="K145" s="80"/>
      <c r="L145" s="80"/>
    </row>
    <row r="146" spans="1:12" x14ac:dyDescent="0.25">
      <c r="A146" s="262" t="s">
        <v>60</v>
      </c>
      <c r="B146" s="262" t="s">
        <v>61</v>
      </c>
      <c r="C146" s="262" t="s">
        <v>86</v>
      </c>
      <c r="D146" s="262" t="s">
        <v>87</v>
      </c>
      <c r="E146" s="262" t="s">
        <v>88</v>
      </c>
      <c r="F146" s="262" t="s">
        <v>463</v>
      </c>
      <c r="G146" s="262" t="s">
        <v>465</v>
      </c>
      <c r="H146" s="262" t="s">
        <v>62</v>
      </c>
      <c r="I146" s="262" t="s">
        <v>63</v>
      </c>
      <c r="J146" s="262" t="s">
        <v>64</v>
      </c>
      <c r="K146" s="262" t="s">
        <v>45</v>
      </c>
      <c r="L146" s="80"/>
    </row>
    <row r="147" spans="1:12" ht="54.6" customHeight="1" x14ac:dyDescent="0.25">
      <c r="A147" s="262"/>
      <c r="B147" s="262"/>
      <c r="C147" s="262"/>
      <c r="D147" s="262"/>
      <c r="E147" s="262"/>
      <c r="F147" s="262"/>
      <c r="G147" s="262"/>
      <c r="H147" s="262"/>
      <c r="I147" s="262"/>
      <c r="J147" s="262"/>
      <c r="K147" s="262"/>
      <c r="L147" s="80"/>
    </row>
    <row r="148" spans="1:12" x14ac:dyDescent="0.25">
      <c r="A148" s="262"/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80"/>
    </row>
    <row r="149" spans="1:12" ht="15" customHeight="1" x14ac:dyDescent="0.25">
      <c r="A149" s="107">
        <v>1370210</v>
      </c>
      <c r="B149" s="107" t="s">
        <v>279</v>
      </c>
      <c r="C149" s="107">
        <v>768</v>
      </c>
      <c r="D149" s="107">
        <v>2021</v>
      </c>
      <c r="E149" s="107">
        <v>2021</v>
      </c>
      <c r="F149" s="107">
        <v>768</v>
      </c>
      <c r="G149" s="107">
        <v>768</v>
      </c>
      <c r="H149" s="107">
        <v>768</v>
      </c>
      <c r="I149" s="107">
        <v>768</v>
      </c>
      <c r="J149" s="107">
        <v>768</v>
      </c>
      <c r="K149" s="107"/>
    </row>
    <row r="150" spans="1:12" s="208" customFormat="1" ht="15" customHeight="1" x14ac:dyDescent="0.25">
      <c r="A150" s="107">
        <v>1370211</v>
      </c>
      <c r="B150" s="107" t="s">
        <v>275</v>
      </c>
      <c r="C150" s="107">
        <v>1258</v>
      </c>
      <c r="D150" s="107">
        <v>2021</v>
      </c>
      <c r="E150" s="107">
        <v>2022</v>
      </c>
      <c r="F150" s="107">
        <v>1258</v>
      </c>
      <c r="G150" s="107">
        <v>1258</v>
      </c>
      <c r="H150" s="107">
        <v>257</v>
      </c>
      <c r="I150" s="107">
        <v>257</v>
      </c>
      <c r="J150" s="107">
        <v>257</v>
      </c>
      <c r="K150" s="107"/>
    </row>
    <row r="151" spans="1:12" s="208" customFormat="1" ht="15" customHeight="1" x14ac:dyDescent="0.25">
      <c r="A151" s="107">
        <v>1370212</v>
      </c>
      <c r="B151" s="107" t="s">
        <v>276</v>
      </c>
      <c r="C151" s="107">
        <v>20649</v>
      </c>
      <c r="D151" s="107">
        <v>2021</v>
      </c>
      <c r="E151" s="107">
        <v>2021</v>
      </c>
      <c r="F151" s="107">
        <v>20649</v>
      </c>
      <c r="G151" s="107">
        <v>20649</v>
      </c>
      <c r="H151" s="107">
        <v>20649</v>
      </c>
      <c r="I151" s="107">
        <v>20649</v>
      </c>
      <c r="J151" s="107">
        <v>20649</v>
      </c>
      <c r="K151" s="107"/>
    </row>
    <row r="152" spans="1:12" s="208" customFormat="1" ht="15" customHeight="1" x14ac:dyDescent="0.25">
      <c r="A152" s="107">
        <v>1370213</v>
      </c>
      <c r="B152" s="107" t="s">
        <v>278</v>
      </c>
      <c r="C152" s="107">
        <v>630</v>
      </c>
      <c r="D152" s="107">
        <v>2021</v>
      </c>
      <c r="E152" s="107">
        <v>2021</v>
      </c>
      <c r="F152" s="107">
        <v>630</v>
      </c>
      <c r="G152" s="107">
        <v>630</v>
      </c>
      <c r="H152" s="107">
        <v>372</v>
      </c>
      <c r="I152" s="107">
        <v>372</v>
      </c>
      <c r="J152" s="107">
        <v>372</v>
      </c>
      <c r="K152" s="107"/>
    </row>
    <row r="153" spans="1:12" s="208" customFormat="1" ht="15" customHeight="1" x14ac:dyDescent="0.25">
      <c r="A153" s="107">
        <v>1370215</v>
      </c>
      <c r="B153" s="107" t="s">
        <v>280</v>
      </c>
      <c r="C153" s="107">
        <v>833</v>
      </c>
      <c r="D153" s="107">
        <v>2021</v>
      </c>
      <c r="E153" s="107">
        <v>2021</v>
      </c>
      <c r="F153" s="107">
        <v>833</v>
      </c>
      <c r="G153" s="107">
        <v>833</v>
      </c>
      <c r="H153" s="107">
        <v>718</v>
      </c>
      <c r="I153" s="107">
        <v>718</v>
      </c>
      <c r="J153" s="107">
        <v>718</v>
      </c>
      <c r="K153" s="107"/>
    </row>
    <row r="154" spans="1:12" s="208" customFormat="1" ht="15" customHeight="1" x14ac:dyDescent="0.25">
      <c r="A154" s="107">
        <v>1370218</v>
      </c>
      <c r="B154" s="107" t="s">
        <v>277</v>
      </c>
      <c r="C154" s="107">
        <v>3026</v>
      </c>
      <c r="D154" s="107">
        <v>2021</v>
      </c>
      <c r="E154" s="107">
        <v>2021</v>
      </c>
      <c r="F154" s="107">
        <v>3026</v>
      </c>
      <c r="G154" s="107">
        <v>3026</v>
      </c>
      <c r="H154" s="107">
        <v>3026</v>
      </c>
      <c r="I154" s="107">
        <v>3026</v>
      </c>
      <c r="J154" s="107">
        <v>3026</v>
      </c>
      <c r="K154" s="107"/>
    </row>
    <row r="155" spans="1:12" s="208" customFormat="1" ht="15" customHeight="1" x14ac:dyDescent="0.25">
      <c r="A155" s="107">
        <v>1370226</v>
      </c>
      <c r="B155" s="107" t="s">
        <v>304</v>
      </c>
      <c r="C155" s="107">
        <v>14</v>
      </c>
      <c r="D155" s="107">
        <v>2021</v>
      </c>
      <c r="E155" s="107">
        <v>2021</v>
      </c>
      <c r="F155" s="107">
        <v>14</v>
      </c>
      <c r="G155" s="107">
        <v>14</v>
      </c>
      <c r="H155" s="107">
        <v>14</v>
      </c>
      <c r="I155" s="107">
        <v>14</v>
      </c>
      <c r="J155" s="107">
        <v>14</v>
      </c>
      <c r="K155" s="107"/>
    </row>
    <row r="156" spans="1:12" s="208" customFormat="1" ht="15" customHeight="1" x14ac:dyDescent="0.25">
      <c r="A156" s="107">
        <v>1370241</v>
      </c>
      <c r="B156" s="107" t="s">
        <v>306</v>
      </c>
      <c r="C156" s="107">
        <v>194</v>
      </c>
      <c r="D156" s="107">
        <v>2021</v>
      </c>
      <c r="E156" s="107">
        <v>2021</v>
      </c>
      <c r="F156" s="107">
        <v>194</v>
      </c>
      <c r="G156" s="107">
        <v>194</v>
      </c>
      <c r="H156" s="107">
        <v>194</v>
      </c>
      <c r="I156" s="107">
        <v>194</v>
      </c>
      <c r="J156" s="107">
        <v>194</v>
      </c>
      <c r="K156" s="107"/>
    </row>
    <row r="157" spans="1:12" s="208" customFormat="1" ht="15" customHeight="1" x14ac:dyDescent="0.25">
      <c r="A157" s="107">
        <v>1370319</v>
      </c>
      <c r="B157" s="107" t="s">
        <v>325</v>
      </c>
      <c r="C157" s="107">
        <v>98</v>
      </c>
      <c r="D157" s="107">
        <v>2021</v>
      </c>
      <c r="E157" s="107">
        <v>2021</v>
      </c>
      <c r="F157" s="107">
        <v>98</v>
      </c>
      <c r="G157" s="107">
        <v>98</v>
      </c>
      <c r="H157" s="107">
        <v>98</v>
      </c>
      <c r="I157" s="107">
        <v>98</v>
      </c>
      <c r="J157" s="107">
        <v>98</v>
      </c>
      <c r="K157" s="107"/>
    </row>
    <row r="158" spans="1:12" s="208" customFormat="1" ht="15" customHeight="1" x14ac:dyDescent="0.25">
      <c r="A158" s="107">
        <v>1370320</v>
      </c>
      <c r="B158" s="107" t="s">
        <v>326</v>
      </c>
      <c r="C158" s="107">
        <v>217</v>
      </c>
      <c r="D158" s="107">
        <v>2021</v>
      </c>
      <c r="E158" s="107">
        <v>2021</v>
      </c>
      <c r="F158" s="107">
        <v>217</v>
      </c>
      <c r="G158" s="107">
        <v>217</v>
      </c>
      <c r="H158" s="107">
        <v>217</v>
      </c>
      <c r="I158" s="107">
        <v>217</v>
      </c>
      <c r="J158" s="107">
        <v>217</v>
      </c>
      <c r="K158" s="107"/>
    </row>
    <row r="159" spans="1:12" s="208" customFormat="1" ht="15" customHeight="1" x14ac:dyDescent="0.25">
      <c r="A159" s="107">
        <v>1370326</v>
      </c>
      <c r="B159" s="107" t="s">
        <v>327</v>
      </c>
      <c r="C159" s="107">
        <v>737</v>
      </c>
      <c r="D159" s="107">
        <v>2021</v>
      </c>
      <c r="E159" s="107">
        <v>2021</v>
      </c>
      <c r="F159" s="107">
        <v>737</v>
      </c>
      <c r="G159" s="107">
        <v>737</v>
      </c>
      <c r="H159" s="107">
        <v>719</v>
      </c>
      <c r="I159" s="107">
        <v>719</v>
      </c>
      <c r="J159" s="107">
        <v>719</v>
      </c>
      <c r="K159" s="107"/>
    </row>
    <row r="160" spans="1:12" s="208" customFormat="1" ht="15" customHeight="1" x14ac:dyDescent="0.25">
      <c r="A160" s="107">
        <v>1370327</v>
      </c>
      <c r="B160" s="107" t="s">
        <v>328</v>
      </c>
      <c r="C160" s="107">
        <v>214</v>
      </c>
      <c r="D160" s="107">
        <v>2021</v>
      </c>
      <c r="E160" s="107">
        <v>2021</v>
      </c>
      <c r="F160" s="107">
        <v>214</v>
      </c>
      <c r="G160" s="107">
        <v>214</v>
      </c>
      <c r="H160" s="107">
        <v>214</v>
      </c>
      <c r="I160" s="107">
        <v>214</v>
      </c>
      <c r="J160" s="107">
        <v>214</v>
      </c>
      <c r="K160" s="107"/>
    </row>
    <row r="161" spans="1:12" ht="15" customHeight="1" x14ac:dyDescent="0.25">
      <c r="A161" s="107">
        <v>1370328</v>
      </c>
      <c r="B161" s="107" t="s">
        <v>329</v>
      </c>
      <c r="C161" s="107">
        <v>264</v>
      </c>
      <c r="D161" s="107">
        <v>2021</v>
      </c>
      <c r="E161" s="107">
        <v>2021</v>
      </c>
      <c r="F161" s="107">
        <v>264</v>
      </c>
      <c r="G161" s="107">
        <v>264</v>
      </c>
      <c r="H161" s="107">
        <v>264</v>
      </c>
      <c r="I161" s="107">
        <v>264</v>
      </c>
      <c r="J161" s="107">
        <v>264</v>
      </c>
      <c r="K161" s="107"/>
    </row>
    <row r="162" spans="1:12" ht="15" customHeight="1" x14ac:dyDescent="0.25">
      <c r="A162" s="107">
        <v>1370330</v>
      </c>
      <c r="B162" s="107" t="s">
        <v>330</v>
      </c>
      <c r="C162" s="107">
        <v>600</v>
      </c>
      <c r="D162" s="107">
        <v>2021</v>
      </c>
      <c r="E162" s="107">
        <v>2021</v>
      </c>
      <c r="F162" s="107">
        <v>600</v>
      </c>
      <c r="G162" s="107">
        <v>600</v>
      </c>
      <c r="H162" s="107">
        <v>524</v>
      </c>
      <c r="I162" s="107">
        <v>524</v>
      </c>
      <c r="J162" s="107">
        <v>524</v>
      </c>
      <c r="K162" s="107"/>
    </row>
    <row r="163" spans="1:12" ht="15" customHeight="1" x14ac:dyDescent="0.25">
      <c r="A163" s="107">
        <v>1370332</v>
      </c>
      <c r="B163" s="107" t="s">
        <v>331</v>
      </c>
      <c r="C163" s="107">
        <v>92</v>
      </c>
      <c r="D163" s="107">
        <v>2021</v>
      </c>
      <c r="E163" s="107">
        <v>2021</v>
      </c>
      <c r="F163" s="107">
        <v>92</v>
      </c>
      <c r="G163" s="107">
        <v>92</v>
      </c>
      <c r="H163" s="107">
        <v>92</v>
      </c>
      <c r="I163" s="107">
        <v>92</v>
      </c>
      <c r="J163" s="107">
        <v>92</v>
      </c>
      <c r="K163" s="107"/>
    </row>
    <row r="164" spans="1:12" ht="15" customHeight="1" x14ac:dyDescent="0.25">
      <c r="A164" s="107">
        <v>1370333</v>
      </c>
      <c r="B164" s="107" t="s">
        <v>332</v>
      </c>
      <c r="C164" s="107">
        <v>748</v>
      </c>
      <c r="D164" s="107">
        <v>2021</v>
      </c>
      <c r="E164" s="107">
        <v>2021</v>
      </c>
      <c r="F164" s="107">
        <v>748</v>
      </c>
      <c r="G164" s="107">
        <v>748</v>
      </c>
      <c r="H164" s="107">
        <v>748</v>
      </c>
      <c r="I164" s="107">
        <v>748</v>
      </c>
      <c r="J164" s="107">
        <v>748</v>
      </c>
      <c r="K164" s="107"/>
    </row>
    <row r="165" spans="1:12" ht="15" customHeight="1" x14ac:dyDescent="0.25">
      <c r="A165" s="107">
        <v>1370348</v>
      </c>
      <c r="B165" s="107" t="s">
        <v>337</v>
      </c>
      <c r="C165" s="107">
        <v>960</v>
      </c>
      <c r="D165" s="107">
        <v>2021</v>
      </c>
      <c r="E165" s="107">
        <v>2021</v>
      </c>
      <c r="F165" s="107">
        <v>960</v>
      </c>
      <c r="G165" s="107">
        <v>960</v>
      </c>
      <c r="H165" s="107">
        <v>887</v>
      </c>
      <c r="I165" s="107">
        <v>887</v>
      </c>
      <c r="J165" s="107">
        <v>887</v>
      </c>
      <c r="K165" s="107"/>
    </row>
    <row r="166" spans="1:12" x14ac:dyDescent="0.25">
      <c r="A166" s="208"/>
      <c r="B166" s="208"/>
    </row>
    <row r="167" spans="1:12" x14ac:dyDescent="0.25">
      <c r="A167" s="208"/>
      <c r="B167" s="208"/>
    </row>
    <row r="168" spans="1:12" x14ac:dyDescent="0.25">
      <c r="A168" s="77" t="s">
        <v>89</v>
      </c>
      <c r="B168" s="78"/>
      <c r="C168" s="78"/>
      <c r="D168" s="78"/>
      <c r="E168" s="78"/>
      <c r="F168" s="78"/>
      <c r="G168" s="78"/>
      <c r="H168" s="79"/>
      <c r="I168" s="79"/>
      <c r="J168" s="78"/>
      <c r="K168" s="78"/>
      <c r="L168" s="78"/>
    </row>
    <row r="169" spans="1:12" ht="15.75" x14ac:dyDescent="0.25">
      <c r="A169" s="80"/>
      <c r="B169" s="80"/>
      <c r="C169" s="84"/>
      <c r="D169" s="85"/>
      <c r="E169" s="81"/>
      <c r="F169" s="81"/>
      <c r="G169" s="85"/>
      <c r="H169" s="86"/>
      <c r="I169" s="86"/>
      <c r="J169" s="80"/>
      <c r="K169" s="80"/>
      <c r="L169" s="80"/>
    </row>
    <row r="170" spans="1:12" x14ac:dyDescent="0.25">
      <c r="A170" s="262" t="s">
        <v>60</v>
      </c>
      <c r="B170" s="262" t="s">
        <v>61</v>
      </c>
      <c r="C170" s="262" t="s">
        <v>65</v>
      </c>
      <c r="D170" s="262" t="s">
        <v>86</v>
      </c>
      <c r="E170" s="262" t="s">
        <v>87</v>
      </c>
      <c r="F170" s="262" t="s">
        <v>90</v>
      </c>
      <c r="G170" s="262" t="s">
        <v>464</v>
      </c>
      <c r="H170" s="262" t="s">
        <v>465</v>
      </c>
      <c r="I170" s="262" t="s">
        <v>63</v>
      </c>
      <c r="J170" s="262" t="s">
        <v>62</v>
      </c>
      <c r="K170" s="262" t="s">
        <v>64</v>
      </c>
      <c r="L170" s="262" t="s">
        <v>45</v>
      </c>
    </row>
    <row r="171" spans="1:12" x14ac:dyDescent="0.25">
      <c r="A171" s="262"/>
      <c r="B171" s="262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</row>
    <row r="172" spans="1:12" ht="55.9" customHeight="1" x14ac:dyDescent="0.25">
      <c r="A172" s="262"/>
      <c r="B172" s="262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</row>
    <row r="173" spans="1:12" x14ac:dyDescent="0.2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</row>
    <row r="176" spans="1:12" ht="19.149999999999999" customHeight="1" x14ac:dyDescent="0.25">
      <c r="A176" s="262" t="s">
        <v>66</v>
      </c>
      <c r="B176" s="87" t="s">
        <v>20</v>
      </c>
      <c r="C176" s="114"/>
      <c r="D176" s="115"/>
      <c r="E176" s="262" t="s">
        <v>19</v>
      </c>
      <c r="F176" s="87" t="s">
        <v>20</v>
      </c>
      <c r="G176" s="263"/>
      <c r="H176" s="263"/>
    </row>
    <row r="177" spans="1:19" ht="21" customHeight="1" x14ac:dyDescent="0.25">
      <c r="A177" s="262"/>
      <c r="B177" s="87" t="s">
        <v>21</v>
      </c>
      <c r="C177" s="114"/>
      <c r="D177" s="115"/>
      <c r="E177" s="262"/>
      <c r="F177" s="87" t="s">
        <v>21</v>
      </c>
      <c r="G177" s="263"/>
      <c r="H177" s="263"/>
    </row>
    <row r="178" spans="1:19" ht="22.9" customHeight="1" x14ac:dyDescent="0.25">
      <c r="A178" s="262"/>
      <c r="B178" s="87" t="s">
        <v>22</v>
      </c>
      <c r="C178" s="114"/>
      <c r="D178" s="115"/>
      <c r="E178" s="262"/>
      <c r="F178" s="87" t="s">
        <v>22</v>
      </c>
      <c r="G178" s="263"/>
      <c r="H178" s="263"/>
    </row>
    <row r="181" spans="1:19" ht="22.5" x14ac:dyDescent="0.25">
      <c r="A181" s="88" t="s">
        <v>28</v>
      </c>
      <c r="B181" s="108" t="s">
        <v>104</v>
      </c>
      <c r="C181" s="89" t="s">
        <v>69</v>
      </c>
      <c r="D181" s="109">
        <v>6440</v>
      </c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</row>
    <row r="182" spans="1:19" x14ac:dyDescent="0.25">
      <c r="A182" s="11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x14ac:dyDescent="0.25">
      <c r="A183" s="306" t="s">
        <v>85</v>
      </c>
      <c r="B183" s="307"/>
      <c r="C183" s="306"/>
      <c r="D183" s="307"/>
      <c r="E183" s="307"/>
      <c r="F183" s="78"/>
      <c r="G183" s="79"/>
      <c r="H183" s="79"/>
      <c r="I183" s="79"/>
      <c r="J183" s="78"/>
      <c r="K183" s="78"/>
      <c r="L183" s="78"/>
    </row>
    <row r="184" spans="1:19" x14ac:dyDescent="0.25">
      <c r="A184" s="80"/>
      <c r="B184" s="80"/>
      <c r="C184" s="81"/>
      <c r="D184" s="80"/>
      <c r="E184" s="81"/>
      <c r="F184" s="81"/>
      <c r="G184" s="82"/>
      <c r="H184" s="82"/>
      <c r="I184" s="82"/>
      <c r="J184" s="80"/>
      <c r="K184" s="80"/>
      <c r="L184" s="80"/>
    </row>
    <row r="185" spans="1:19" x14ac:dyDescent="0.25">
      <c r="A185" s="262" t="s">
        <v>60</v>
      </c>
      <c r="B185" s="262" t="s">
        <v>61</v>
      </c>
      <c r="C185" s="262" t="s">
        <v>86</v>
      </c>
      <c r="D185" s="262" t="s">
        <v>87</v>
      </c>
      <c r="E185" s="262" t="s">
        <v>88</v>
      </c>
      <c r="F185" s="262" t="s">
        <v>463</v>
      </c>
      <c r="G185" s="262" t="s">
        <v>465</v>
      </c>
      <c r="H185" s="262" t="s">
        <v>62</v>
      </c>
      <c r="I185" s="262" t="s">
        <v>63</v>
      </c>
      <c r="J185" s="262" t="s">
        <v>64</v>
      </c>
      <c r="K185" s="262" t="s">
        <v>45</v>
      </c>
      <c r="L185" s="80"/>
    </row>
    <row r="186" spans="1:19" ht="54.6" customHeight="1" x14ac:dyDescent="0.25">
      <c r="A186" s="262"/>
      <c r="B186" s="262"/>
      <c r="C186" s="262"/>
      <c r="D186" s="262"/>
      <c r="E186" s="262"/>
      <c r="F186" s="262"/>
      <c r="G186" s="262"/>
      <c r="H186" s="262"/>
      <c r="I186" s="262"/>
      <c r="J186" s="262"/>
      <c r="K186" s="262"/>
      <c r="L186" s="80"/>
    </row>
    <row r="187" spans="1:19" x14ac:dyDescent="0.25">
      <c r="A187" s="262"/>
      <c r="B187" s="262"/>
      <c r="C187" s="262"/>
      <c r="D187" s="262"/>
      <c r="E187" s="262"/>
      <c r="F187" s="262"/>
      <c r="G187" s="262"/>
      <c r="H187" s="262"/>
      <c r="I187" s="262"/>
      <c r="J187" s="262"/>
      <c r="K187" s="262"/>
      <c r="L187" s="80"/>
    </row>
    <row r="188" spans="1:19" ht="15" customHeight="1" x14ac:dyDescent="0.25">
      <c r="A188" s="107">
        <v>1370314</v>
      </c>
      <c r="B188" s="83" t="s">
        <v>322</v>
      </c>
      <c r="C188" s="107">
        <v>200</v>
      </c>
      <c r="D188" s="107">
        <v>2021</v>
      </c>
      <c r="E188" s="107">
        <v>2021</v>
      </c>
      <c r="F188" s="107">
        <v>200</v>
      </c>
      <c r="G188" s="107">
        <v>200</v>
      </c>
      <c r="H188" s="107">
        <v>118</v>
      </c>
      <c r="I188" s="107">
        <v>118</v>
      </c>
      <c r="J188" s="107">
        <v>118</v>
      </c>
      <c r="K188" s="107"/>
    </row>
    <row r="189" spans="1:19" s="208" customFormat="1" ht="15" customHeight="1" x14ac:dyDescent="0.25">
      <c r="A189" s="107">
        <v>1370315</v>
      </c>
      <c r="B189" s="83" t="s">
        <v>323</v>
      </c>
      <c r="C189" s="107">
        <v>600</v>
      </c>
      <c r="D189" s="107">
        <v>2021</v>
      </c>
      <c r="E189" s="107">
        <v>2021</v>
      </c>
      <c r="F189" s="107">
        <v>600</v>
      </c>
      <c r="G189" s="107">
        <v>600</v>
      </c>
      <c r="H189" s="107">
        <v>252</v>
      </c>
      <c r="I189" s="107">
        <v>252</v>
      </c>
      <c r="J189" s="107">
        <v>252</v>
      </c>
      <c r="K189" s="107"/>
    </row>
    <row r="190" spans="1:19" x14ac:dyDescent="0.25">
      <c r="A190" s="83">
        <v>1370316</v>
      </c>
      <c r="B190" s="83" t="s">
        <v>324</v>
      </c>
      <c r="C190" s="83">
        <v>140</v>
      </c>
      <c r="D190" s="83">
        <v>2021</v>
      </c>
      <c r="E190" s="83">
        <v>2021</v>
      </c>
      <c r="F190" s="83">
        <v>140</v>
      </c>
      <c r="G190" s="83">
        <v>140</v>
      </c>
      <c r="H190" s="83">
        <v>136</v>
      </c>
      <c r="I190" s="83">
        <v>136</v>
      </c>
      <c r="J190" s="83">
        <v>136</v>
      </c>
      <c r="K190" s="83"/>
    </row>
    <row r="193" spans="1:19" x14ac:dyDescent="0.25">
      <c r="A193" s="77" t="s">
        <v>89</v>
      </c>
      <c r="B193" s="78"/>
      <c r="C193" s="78"/>
      <c r="D193" s="78"/>
      <c r="E193" s="78"/>
      <c r="F193" s="78"/>
      <c r="G193" s="78"/>
      <c r="H193" s="79"/>
      <c r="I193" s="79"/>
      <c r="J193" s="78"/>
      <c r="K193" s="78"/>
      <c r="L193" s="78"/>
    </row>
    <row r="194" spans="1:19" ht="15.75" x14ac:dyDescent="0.25">
      <c r="A194" s="80"/>
      <c r="B194" s="80"/>
      <c r="C194" s="84"/>
      <c r="D194" s="85"/>
      <c r="E194" s="81"/>
      <c r="F194" s="81"/>
      <c r="G194" s="85"/>
      <c r="H194" s="86"/>
      <c r="I194" s="86"/>
      <c r="J194" s="80"/>
      <c r="K194" s="80"/>
      <c r="L194" s="80"/>
    </row>
    <row r="195" spans="1:19" x14ac:dyDescent="0.25">
      <c r="A195" s="262" t="s">
        <v>60</v>
      </c>
      <c r="B195" s="262" t="s">
        <v>61</v>
      </c>
      <c r="C195" s="262" t="s">
        <v>65</v>
      </c>
      <c r="D195" s="262" t="s">
        <v>86</v>
      </c>
      <c r="E195" s="262" t="s">
        <v>87</v>
      </c>
      <c r="F195" s="262" t="s">
        <v>90</v>
      </c>
      <c r="G195" s="262" t="s">
        <v>464</v>
      </c>
      <c r="H195" s="262" t="s">
        <v>465</v>
      </c>
      <c r="I195" s="262" t="s">
        <v>63</v>
      </c>
      <c r="J195" s="262" t="s">
        <v>62</v>
      </c>
      <c r="K195" s="262" t="s">
        <v>64</v>
      </c>
      <c r="L195" s="262" t="s">
        <v>45</v>
      </c>
    </row>
    <row r="196" spans="1:19" x14ac:dyDescent="0.25">
      <c r="A196" s="262"/>
      <c r="B196" s="262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</row>
    <row r="197" spans="1:19" ht="55.9" customHeight="1" x14ac:dyDescent="0.25">
      <c r="A197" s="262"/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</row>
    <row r="198" spans="1:19" x14ac:dyDescent="0.2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</row>
    <row r="201" spans="1:19" ht="19.149999999999999" customHeight="1" x14ac:dyDescent="0.25">
      <c r="A201" s="262" t="s">
        <v>66</v>
      </c>
      <c r="B201" s="87" t="s">
        <v>20</v>
      </c>
      <c r="C201" s="114"/>
      <c r="D201" s="115"/>
      <c r="E201" s="262" t="s">
        <v>19</v>
      </c>
      <c r="F201" s="87" t="s">
        <v>20</v>
      </c>
      <c r="G201" s="263"/>
      <c r="H201" s="263"/>
    </row>
    <row r="202" spans="1:19" ht="21" customHeight="1" x14ac:dyDescent="0.25">
      <c r="A202" s="262"/>
      <c r="B202" s="87" t="s">
        <v>21</v>
      </c>
      <c r="C202" s="114"/>
      <c r="D202" s="115"/>
      <c r="E202" s="262"/>
      <c r="F202" s="87" t="s">
        <v>21</v>
      </c>
      <c r="G202" s="263"/>
      <c r="H202" s="263"/>
    </row>
    <row r="203" spans="1:19" ht="22.9" customHeight="1" x14ac:dyDescent="0.25">
      <c r="A203" s="262"/>
      <c r="B203" s="87" t="s">
        <v>22</v>
      </c>
      <c r="C203" s="114"/>
      <c r="D203" s="115"/>
      <c r="E203" s="262"/>
      <c r="F203" s="87" t="s">
        <v>22</v>
      </c>
      <c r="G203" s="263"/>
      <c r="H203" s="263"/>
    </row>
    <row r="206" spans="1:19" ht="22.5" x14ac:dyDescent="0.25">
      <c r="A206" s="88" t="s">
        <v>28</v>
      </c>
      <c r="B206" s="108" t="s">
        <v>108</v>
      </c>
      <c r="C206" s="89" t="s">
        <v>69</v>
      </c>
      <c r="D206" s="109">
        <v>9120</v>
      </c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</row>
    <row r="207" spans="1:19" x14ac:dyDescent="0.25">
      <c r="A207" s="11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1:19" x14ac:dyDescent="0.25">
      <c r="A208" s="306" t="s">
        <v>85</v>
      </c>
      <c r="B208" s="307"/>
      <c r="C208" s="306"/>
      <c r="D208" s="307"/>
      <c r="E208" s="307"/>
      <c r="F208" s="78"/>
      <c r="G208" s="79"/>
      <c r="H208" s="79"/>
      <c r="I208" s="79"/>
      <c r="J208" s="78"/>
      <c r="K208" s="78"/>
      <c r="L208" s="78"/>
    </row>
    <row r="209" spans="1:12" x14ac:dyDescent="0.25">
      <c r="A209" s="80"/>
      <c r="B209" s="80"/>
      <c r="C209" s="81"/>
      <c r="D209" s="80"/>
      <c r="E209" s="81"/>
      <c r="F209" s="81"/>
      <c r="G209" s="82"/>
      <c r="H209" s="82"/>
      <c r="I209" s="82"/>
      <c r="J209" s="80"/>
      <c r="K209" s="80"/>
      <c r="L209" s="80"/>
    </row>
    <row r="210" spans="1:12" x14ac:dyDescent="0.25">
      <c r="A210" s="262" t="s">
        <v>60</v>
      </c>
      <c r="B210" s="262" t="s">
        <v>61</v>
      </c>
      <c r="C210" s="262" t="s">
        <v>86</v>
      </c>
      <c r="D210" s="262" t="s">
        <v>87</v>
      </c>
      <c r="E210" s="262" t="s">
        <v>88</v>
      </c>
      <c r="F210" s="262" t="s">
        <v>463</v>
      </c>
      <c r="G210" s="262" t="s">
        <v>465</v>
      </c>
      <c r="H210" s="262" t="s">
        <v>62</v>
      </c>
      <c r="I210" s="262" t="s">
        <v>63</v>
      </c>
      <c r="J210" s="262" t="s">
        <v>64</v>
      </c>
      <c r="K210" s="262" t="s">
        <v>45</v>
      </c>
      <c r="L210" s="80"/>
    </row>
    <row r="211" spans="1:12" ht="54.6" customHeight="1" x14ac:dyDescent="0.25">
      <c r="A211" s="262"/>
      <c r="B211" s="262"/>
      <c r="C211" s="262"/>
      <c r="D211" s="262"/>
      <c r="E211" s="262"/>
      <c r="F211" s="262"/>
      <c r="G211" s="262"/>
      <c r="H211" s="262"/>
      <c r="I211" s="262"/>
      <c r="J211" s="262"/>
      <c r="K211" s="262"/>
      <c r="L211" s="80"/>
    </row>
    <row r="212" spans="1:12" x14ac:dyDescent="0.25">
      <c r="A212" s="262"/>
      <c r="B212" s="262"/>
      <c r="C212" s="262"/>
      <c r="D212" s="262"/>
      <c r="E212" s="262"/>
      <c r="F212" s="262"/>
      <c r="G212" s="262"/>
      <c r="H212" s="262"/>
      <c r="I212" s="262"/>
      <c r="J212" s="262"/>
      <c r="K212" s="262"/>
      <c r="L212" s="80"/>
    </row>
    <row r="213" spans="1:12" ht="15" customHeight="1" x14ac:dyDescent="0.25">
      <c r="A213" s="107">
        <v>1370338</v>
      </c>
      <c r="B213" s="107" t="s">
        <v>470</v>
      </c>
      <c r="C213" s="107">
        <v>566</v>
      </c>
      <c r="D213" s="107">
        <v>2021</v>
      </c>
      <c r="E213" s="107">
        <v>2021</v>
      </c>
      <c r="F213" s="107">
        <v>566</v>
      </c>
      <c r="G213" s="107">
        <v>566</v>
      </c>
      <c r="H213" s="107">
        <v>566</v>
      </c>
      <c r="I213" s="107">
        <v>566</v>
      </c>
      <c r="J213" s="107">
        <v>566</v>
      </c>
      <c r="K213" s="107"/>
    </row>
    <row r="214" spans="1:12" ht="15" customHeight="1" x14ac:dyDescent="0.25">
      <c r="A214" s="107">
        <v>1370339</v>
      </c>
      <c r="B214" s="107" t="s">
        <v>305</v>
      </c>
      <c r="C214" s="107">
        <v>438</v>
      </c>
      <c r="D214" s="107">
        <v>2021</v>
      </c>
      <c r="E214" s="107">
        <v>2021</v>
      </c>
      <c r="F214" s="107">
        <v>438</v>
      </c>
      <c r="G214" s="107">
        <v>438</v>
      </c>
      <c r="H214" s="107">
        <v>432</v>
      </c>
      <c r="I214" s="107">
        <v>432</v>
      </c>
      <c r="J214" s="107">
        <v>432</v>
      </c>
      <c r="K214" s="107"/>
    </row>
    <row r="215" spans="1:12" x14ac:dyDescent="0.25">
      <c r="A215" s="83">
        <v>1370342</v>
      </c>
      <c r="B215" s="83" t="s">
        <v>333</v>
      </c>
      <c r="C215" s="83">
        <v>200</v>
      </c>
      <c r="D215" s="83">
        <v>2021</v>
      </c>
      <c r="E215" s="83">
        <v>2021</v>
      </c>
      <c r="F215" s="83">
        <v>200</v>
      </c>
      <c r="G215" s="83">
        <v>200</v>
      </c>
      <c r="H215" s="83">
        <v>38</v>
      </c>
      <c r="I215" s="83">
        <v>38</v>
      </c>
      <c r="J215" s="83">
        <v>38</v>
      </c>
      <c r="K215" s="83"/>
    </row>
    <row r="218" spans="1:12" x14ac:dyDescent="0.25">
      <c r="A218" s="77" t="s">
        <v>89</v>
      </c>
      <c r="B218" s="78"/>
      <c r="C218" s="78"/>
      <c r="D218" s="78"/>
      <c r="E218" s="78"/>
      <c r="F218" s="78"/>
      <c r="G218" s="78"/>
      <c r="H218" s="79"/>
      <c r="I218" s="79"/>
      <c r="J218" s="78"/>
      <c r="K218" s="78"/>
      <c r="L218" s="78"/>
    </row>
    <row r="219" spans="1:12" ht="15.75" x14ac:dyDescent="0.25">
      <c r="A219" s="80"/>
      <c r="B219" s="80"/>
      <c r="C219" s="84"/>
      <c r="D219" s="85"/>
      <c r="E219" s="81"/>
      <c r="F219" s="81"/>
      <c r="G219" s="85"/>
      <c r="H219" s="86"/>
      <c r="I219" s="86"/>
      <c r="J219" s="80"/>
      <c r="K219" s="80"/>
      <c r="L219" s="80"/>
    </row>
    <row r="220" spans="1:12" x14ac:dyDescent="0.25">
      <c r="A220" s="262" t="s">
        <v>60</v>
      </c>
      <c r="B220" s="262" t="s">
        <v>61</v>
      </c>
      <c r="C220" s="262" t="s">
        <v>65</v>
      </c>
      <c r="D220" s="262" t="s">
        <v>86</v>
      </c>
      <c r="E220" s="262" t="s">
        <v>87</v>
      </c>
      <c r="F220" s="262" t="s">
        <v>90</v>
      </c>
      <c r="G220" s="262" t="s">
        <v>464</v>
      </c>
      <c r="H220" s="262" t="s">
        <v>465</v>
      </c>
      <c r="I220" s="262" t="s">
        <v>63</v>
      </c>
      <c r="J220" s="262" t="s">
        <v>62</v>
      </c>
      <c r="K220" s="262" t="s">
        <v>64</v>
      </c>
      <c r="L220" s="262" t="s">
        <v>45</v>
      </c>
    </row>
    <row r="221" spans="1:12" x14ac:dyDescent="0.25">
      <c r="A221" s="262"/>
      <c r="B221" s="26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</row>
    <row r="222" spans="1:12" ht="55.9" customHeight="1" x14ac:dyDescent="0.25">
      <c r="A222" s="262"/>
      <c r="B222" s="262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</row>
    <row r="223" spans="1:12" x14ac:dyDescent="0.2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</row>
    <row r="226" spans="1:19" ht="19.149999999999999" customHeight="1" x14ac:dyDescent="0.25">
      <c r="A226" s="262" t="s">
        <v>66</v>
      </c>
      <c r="B226" s="87" t="s">
        <v>20</v>
      </c>
      <c r="C226" s="114"/>
      <c r="D226" s="115"/>
      <c r="E226" s="262" t="s">
        <v>19</v>
      </c>
      <c r="F226" s="87" t="s">
        <v>20</v>
      </c>
      <c r="G226" s="263"/>
      <c r="H226" s="263"/>
    </row>
    <row r="227" spans="1:19" ht="21" customHeight="1" x14ac:dyDescent="0.25">
      <c r="A227" s="262"/>
      <c r="B227" s="87" t="s">
        <v>21</v>
      </c>
      <c r="C227" s="114"/>
      <c r="D227" s="115"/>
      <c r="E227" s="262"/>
      <c r="F227" s="87" t="s">
        <v>21</v>
      </c>
      <c r="G227" s="263"/>
      <c r="H227" s="263"/>
    </row>
    <row r="228" spans="1:19" ht="22.9" customHeight="1" x14ac:dyDescent="0.25">
      <c r="A228" s="262"/>
      <c r="B228" s="87" t="s">
        <v>22</v>
      </c>
      <c r="C228" s="114"/>
      <c r="D228" s="115"/>
      <c r="E228" s="262"/>
      <c r="F228" s="87" t="s">
        <v>22</v>
      </c>
      <c r="G228" s="263"/>
      <c r="H228" s="263"/>
    </row>
    <row r="231" spans="1:19" ht="22.5" x14ac:dyDescent="0.25">
      <c r="A231" s="88" t="s">
        <v>28</v>
      </c>
      <c r="B231" s="108" t="s">
        <v>109</v>
      </c>
      <c r="C231" s="89" t="s">
        <v>69</v>
      </c>
      <c r="D231" s="109">
        <v>9230</v>
      </c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</row>
    <row r="232" spans="1:19" x14ac:dyDescent="0.25">
      <c r="A232" s="11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1:19" x14ac:dyDescent="0.25">
      <c r="A233" s="306" t="s">
        <v>85</v>
      </c>
      <c r="B233" s="307"/>
      <c r="C233" s="306"/>
      <c r="D233" s="307"/>
      <c r="E233" s="307"/>
      <c r="F233" s="78"/>
      <c r="G233" s="79"/>
      <c r="H233" s="79"/>
      <c r="I233" s="79"/>
      <c r="J233" s="78"/>
      <c r="K233" s="78"/>
      <c r="L233" s="78"/>
    </row>
    <row r="234" spans="1:19" x14ac:dyDescent="0.25">
      <c r="A234" s="80"/>
      <c r="B234" s="80"/>
      <c r="C234" s="81"/>
      <c r="D234" s="80"/>
      <c r="E234" s="81"/>
      <c r="F234" s="81"/>
      <c r="G234" s="82"/>
      <c r="H234" s="82"/>
      <c r="I234" s="82"/>
      <c r="J234" s="80"/>
      <c r="K234" s="80"/>
      <c r="L234" s="80"/>
    </row>
    <row r="235" spans="1:19" x14ac:dyDescent="0.25">
      <c r="A235" s="262" t="s">
        <v>60</v>
      </c>
      <c r="B235" s="262" t="s">
        <v>61</v>
      </c>
      <c r="C235" s="262" t="s">
        <v>86</v>
      </c>
      <c r="D235" s="262" t="s">
        <v>87</v>
      </c>
      <c r="E235" s="262" t="s">
        <v>88</v>
      </c>
      <c r="F235" s="262" t="s">
        <v>463</v>
      </c>
      <c r="G235" s="262" t="s">
        <v>465</v>
      </c>
      <c r="H235" s="262" t="s">
        <v>62</v>
      </c>
      <c r="I235" s="262" t="s">
        <v>63</v>
      </c>
      <c r="J235" s="262" t="s">
        <v>64</v>
      </c>
      <c r="K235" s="262" t="s">
        <v>45</v>
      </c>
      <c r="L235" s="80"/>
    </row>
    <row r="236" spans="1:19" ht="54.6" customHeight="1" x14ac:dyDescent="0.25">
      <c r="A236" s="262"/>
      <c r="B236" s="262"/>
      <c r="C236" s="262"/>
      <c r="D236" s="262"/>
      <c r="E236" s="262"/>
      <c r="F236" s="262"/>
      <c r="G236" s="262"/>
      <c r="H236" s="262"/>
      <c r="I236" s="262"/>
      <c r="J236" s="262"/>
      <c r="K236" s="262"/>
      <c r="L236" s="80"/>
    </row>
    <row r="237" spans="1:19" x14ac:dyDescent="0.25">
      <c r="A237" s="262"/>
      <c r="B237" s="262"/>
      <c r="C237" s="262"/>
      <c r="D237" s="262"/>
      <c r="E237" s="262"/>
      <c r="F237" s="262"/>
      <c r="G237" s="262"/>
      <c r="H237" s="262"/>
      <c r="I237" s="262"/>
      <c r="J237" s="262"/>
      <c r="K237" s="262"/>
      <c r="L237" s="80"/>
    </row>
    <row r="238" spans="1:19" ht="15" customHeight="1" x14ac:dyDescent="0.25">
      <c r="A238" s="107">
        <v>1370343</v>
      </c>
      <c r="B238" s="107" t="s">
        <v>281</v>
      </c>
      <c r="C238" s="107">
        <v>500</v>
      </c>
      <c r="D238" s="107">
        <v>2021</v>
      </c>
      <c r="E238" s="107">
        <v>2021</v>
      </c>
      <c r="F238" s="107">
        <v>500</v>
      </c>
      <c r="G238" s="107">
        <v>500</v>
      </c>
      <c r="H238" s="107">
        <v>119</v>
      </c>
      <c r="I238" s="107">
        <v>119</v>
      </c>
      <c r="J238" s="107">
        <v>119</v>
      </c>
      <c r="K238" s="107"/>
    </row>
    <row r="239" spans="1:19" x14ac:dyDescent="0.2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2" spans="1:19" x14ac:dyDescent="0.25">
      <c r="A242" s="77" t="s">
        <v>89</v>
      </c>
      <c r="B242" s="78"/>
      <c r="C242" s="78"/>
      <c r="D242" s="78"/>
      <c r="E242" s="78"/>
      <c r="F242" s="78"/>
      <c r="G242" s="78"/>
      <c r="H242" s="79"/>
      <c r="I242" s="79"/>
      <c r="J242" s="78"/>
      <c r="K242" s="78"/>
      <c r="L242" s="78"/>
    </row>
    <row r="243" spans="1:19" ht="15.75" x14ac:dyDescent="0.25">
      <c r="A243" s="80"/>
      <c r="B243" s="80"/>
      <c r="C243" s="84"/>
      <c r="D243" s="85"/>
      <c r="E243" s="81"/>
      <c r="F243" s="81"/>
      <c r="G243" s="85"/>
      <c r="H243" s="86"/>
      <c r="I243" s="86"/>
      <c r="J243" s="80"/>
      <c r="K243" s="80"/>
      <c r="L243" s="80"/>
    </row>
    <row r="244" spans="1:19" x14ac:dyDescent="0.25">
      <c r="A244" s="262" t="s">
        <v>60</v>
      </c>
      <c r="B244" s="262" t="s">
        <v>61</v>
      </c>
      <c r="C244" s="262" t="s">
        <v>65</v>
      </c>
      <c r="D244" s="262" t="s">
        <v>86</v>
      </c>
      <c r="E244" s="262" t="s">
        <v>87</v>
      </c>
      <c r="F244" s="262" t="s">
        <v>90</v>
      </c>
      <c r="G244" s="262" t="s">
        <v>464</v>
      </c>
      <c r="H244" s="262" t="s">
        <v>465</v>
      </c>
      <c r="I244" s="262" t="s">
        <v>63</v>
      </c>
      <c r="J244" s="262" t="s">
        <v>62</v>
      </c>
      <c r="K244" s="262" t="s">
        <v>64</v>
      </c>
      <c r="L244" s="262" t="s">
        <v>45</v>
      </c>
    </row>
    <row r="245" spans="1:19" x14ac:dyDescent="0.25">
      <c r="A245" s="262"/>
      <c r="B245" s="262"/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</row>
    <row r="246" spans="1:19" ht="55.9" customHeight="1" x14ac:dyDescent="0.25">
      <c r="A246" s="262"/>
      <c r="B246" s="262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</row>
    <row r="247" spans="1:19" x14ac:dyDescent="0.2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</row>
    <row r="250" spans="1:19" ht="19.149999999999999" customHeight="1" x14ac:dyDescent="0.25">
      <c r="A250" s="262" t="s">
        <v>66</v>
      </c>
      <c r="B250" s="87" t="s">
        <v>20</v>
      </c>
      <c r="C250" s="114"/>
      <c r="D250" s="115"/>
      <c r="E250" s="262" t="s">
        <v>19</v>
      </c>
      <c r="F250" s="87" t="s">
        <v>20</v>
      </c>
      <c r="G250" s="263"/>
      <c r="H250" s="263"/>
    </row>
    <row r="251" spans="1:19" ht="21" customHeight="1" x14ac:dyDescent="0.25">
      <c r="A251" s="262"/>
      <c r="B251" s="87" t="s">
        <v>21</v>
      </c>
      <c r="C251" s="114"/>
      <c r="D251" s="115"/>
      <c r="E251" s="262"/>
      <c r="F251" s="87" t="s">
        <v>21</v>
      </c>
      <c r="G251" s="263"/>
      <c r="H251" s="263"/>
    </row>
    <row r="252" spans="1:19" ht="22.9" customHeight="1" x14ac:dyDescent="0.25">
      <c r="A252" s="262"/>
      <c r="B252" s="87" t="s">
        <v>22</v>
      </c>
      <c r="C252" s="114"/>
      <c r="D252" s="115"/>
      <c r="E252" s="262"/>
      <c r="F252" s="87" t="s">
        <v>22</v>
      </c>
      <c r="G252" s="263"/>
      <c r="H252" s="263"/>
    </row>
    <row r="255" spans="1:19" ht="22.5" x14ac:dyDescent="0.25">
      <c r="A255" s="88" t="s">
        <v>28</v>
      </c>
      <c r="B255" s="108" t="s">
        <v>110</v>
      </c>
      <c r="C255" s="89" t="s">
        <v>69</v>
      </c>
      <c r="D255" s="109">
        <v>10661</v>
      </c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</row>
    <row r="256" spans="1:19" x14ac:dyDescent="0.25">
      <c r="A256" s="110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</row>
    <row r="257" spans="1:12" x14ac:dyDescent="0.25">
      <c r="A257" s="306" t="s">
        <v>85</v>
      </c>
      <c r="B257" s="307"/>
      <c r="C257" s="306"/>
      <c r="D257" s="307"/>
      <c r="E257" s="307"/>
      <c r="F257" s="78"/>
      <c r="G257" s="79"/>
      <c r="H257" s="79"/>
      <c r="I257" s="79"/>
      <c r="J257" s="78"/>
      <c r="K257" s="78"/>
      <c r="L257" s="78"/>
    </row>
    <row r="258" spans="1:12" x14ac:dyDescent="0.25">
      <c r="A258" s="80"/>
      <c r="B258" s="80"/>
      <c r="C258" s="81"/>
      <c r="D258" s="80"/>
      <c r="E258" s="81"/>
      <c r="F258" s="81"/>
      <c r="G258" s="82"/>
      <c r="H258" s="82"/>
      <c r="I258" s="82"/>
      <c r="J258" s="80"/>
      <c r="K258" s="80"/>
      <c r="L258" s="80"/>
    </row>
    <row r="259" spans="1:12" x14ac:dyDescent="0.25">
      <c r="A259" s="262" t="s">
        <v>60</v>
      </c>
      <c r="B259" s="262" t="s">
        <v>61</v>
      </c>
      <c r="C259" s="262" t="s">
        <v>86</v>
      </c>
      <c r="D259" s="262" t="s">
        <v>87</v>
      </c>
      <c r="E259" s="262" t="s">
        <v>88</v>
      </c>
      <c r="F259" s="262" t="s">
        <v>463</v>
      </c>
      <c r="G259" s="262" t="s">
        <v>465</v>
      </c>
      <c r="H259" s="262" t="s">
        <v>62</v>
      </c>
      <c r="I259" s="262" t="s">
        <v>63</v>
      </c>
      <c r="J259" s="262" t="s">
        <v>64</v>
      </c>
      <c r="K259" s="262" t="s">
        <v>45</v>
      </c>
      <c r="L259" s="80"/>
    </row>
    <row r="260" spans="1:12" ht="54.6" customHeight="1" x14ac:dyDescent="0.25">
      <c r="A260" s="262"/>
      <c r="B260" s="262"/>
      <c r="C260" s="262"/>
      <c r="D260" s="262"/>
      <c r="E260" s="262"/>
      <c r="F260" s="262"/>
      <c r="G260" s="262"/>
      <c r="H260" s="262"/>
      <c r="I260" s="262"/>
      <c r="J260" s="262"/>
      <c r="K260" s="262"/>
      <c r="L260" s="80"/>
    </row>
    <row r="261" spans="1:12" x14ac:dyDescent="0.25">
      <c r="A261" s="262"/>
      <c r="B261" s="262"/>
      <c r="C261" s="262"/>
      <c r="D261" s="262"/>
      <c r="E261" s="262"/>
      <c r="F261" s="262"/>
      <c r="G261" s="262"/>
      <c r="H261" s="262"/>
      <c r="I261" s="262"/>
      <c r="J261" s="262"/>
      <c r="K261" s="262"/>
      <c r="L261" s="80"/>
    </row>
    <row r="262" spans="1:12" ht="15" customHeight="1" x14ac:dyDescent="0.25">
      <c r="A262" s="107">
        <v>1370229</v>
      </c>
      <c r="B262" s="107" t="s">
        <v>290</v>
      </c>
      <c r="C262" s="107">
        <v>16058</v>
      </c>
      <c r="D262" s="107">
        <v>2021</v>
      </c>
      <c r="E262" s="107">
        <v>2024</v>
      </c>
      <c r="F262" s="107">
        <v>3710</v>
      </c>
      <c r="G262" s="107">
        <v>3710</v>
      </c>
      <c r="H262" s="107">
        <v>3710</v>
      </c>
      <c r="I262" s="107">
        <v>3710</v>
      </c>
      <c r="J262" s="107">
        <v>3710</v>
      </c>
      <c r="K262" s="107"/>
    </row>
    <row r="263" spans="1:12" ht="15" customHeight="1" x14ac:dyDescent="0.25">
      <c r="A263" s="107">
        <v>1370336</v>
      </c>
      <c r="B263" s="107" t="s">
        <v>282</v>
      </c>
      <c r="C263" s="107">
        <v>300</v>
      </c>
      <c r="D263" s="107">
        <v>2021</v>
      </c>
      <c r="E263" s="107">
        <v>2021</v>
      </c>
      <c r="F263" s="107">
        <v>300</v>
      </c>
      <c r="G263" s="107">
        <v>300</v>
      </c>
      <c r="H263" s="107">
        <v>300</v>
      </c>
      <c r="I263" s="107">
        <v>300</v>
      </c>
      <c r="J263" s="107">
        <v>300</v>
      </c>
      <c r="K263" s="107"/>
    </row>
    <row r="264" spans="1:12" x14ac:dyDescent="0.2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7" spans="1:12" x14ac:dyDescent="0.25">
      <c r="A267" s="77" t="s">
        <v>89</v>
      </c>
      <c r="B267" s="78"/>
      <c r="C267" s="78"/>
      <c r="D267" s="78"/>
      <c r="E267" s="78"/>
      <c r="F267" s="78"/>
      <c r="G267" s="78"/>
      <c r="H267" s="79"/>
      <c r="I267" s="79"/>
      <c r="J267" s="78"/>
      <c r="K267" s="78"/>
      <c r="L267" s="78"/>
    </row>
    <row r="268" spans="1:12" ht="15.75" x14ac:dyDescent="0.25">
      <c r="A268" s="80"/>
      <c r="B268" s="80"/>
      <c r="C268" s="84"/>
      <c r="D268" s="85"/>
      <c r="E268" s="81"/>
      <c r="F268" s="81"/>
      <c r="G268" s="85"/>
      <c r="H268" s="86"/>
      <c r="I268" s="86"/>
      <c r="J268" s="80"/>
      <c r="K268" s="80"/>
      <c r="L268" s="80"/>
    </row>
    <row r="269" spans="1:12" x14ac:dyDescent="0.25">
      <c r="A269" s="262" t="s">
        <v>60</v>
      </c>
      <c r="B269" s="262" t="s">
        <v>61</v>
      </c>
      <c r="C269" s="262" t="s">
        <v>65</v>
      </c>
      <c r="D269" s="262" t="s">
        <v>86</v>
      </c>
      <c r="E269" s="262" t="s">
        <v>87</v>
      </c>
      <c r="F269" s="262" t="s">
        <v>90</v>
      </c>
      <c r="G269" s="262" t="s">
        <v>464</v>
      </c>
      <c r="H269" s="262" t="s">
        <v>465</v>
      </c>
      <c r="I269" s="262" t="s">
        <v>63</v>
      </c>
      <c r="J269" s="262" t="s">
        <v>62</v>
      </c>
      <c r="K269" s="262" t="s">
        <v>64</v>
      </c>
      <c r="L269" s="262" t="s">
        <v>45</v>
      </c>
    </row>
    <row r="270" spans="1:12" x14ac:dyDescent="0.25">
      <c r="A270" s="262"/>
      <c r="B270" s="262"/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</row>
    <row r="271" spans="1:12" ht="55.9" customHeight="1" x14ac:dyDescent="0.25">
      <c r="A271" s="262"/>
      <c r="B271" s="262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</row>
    <row r="272" spans="1:12" x14ac:dyDescent="0.2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</row>
    <row r="275" spans="1:19" ht="19.149999999999999" customHeight="1" x14ac:dyDescent="0.25">
      <c r="A275" s="262" t="s">
        <v>66</v>
      </c>
      <c r="B275" s="87" t="s">
        <v>20</v>
      </c>
      <c r="C275" s="114"/>
      <c r="D275" s="115"/>
      <c r="E275" s="262" t="s">
        <v>19</v>
      </c>
      <c r="F275" s="87" t="s">
        <v>20</v>
      </c>
      <c r="G275" s="263"/>
      <c r="H275" s="263"/>
    </row>
    <row r="276" spans="1:19" ht="21" customHeight="1" x14ac:dyDescent="0.25">
      <c r="A276" s="262"/>
      <c r="B276" s="87" t="s">
        <v>21</v>
      </c>
      <c r="C276" s="114"/>
      <c r="D276" s="115"/>
      <c r="E276" s="262"/>
      <c r="F276" s="87" t="s">
        <v>21</v>
      </c>
      <c r="G276" s="263"/>
      <c r="H276" s="263"/>
    </row>
    <row r="277" spans="1:19" ht="22.9" customHeight="1" x14ac:dyDescent="0.25">
      <c r="A277" s="262"/>
      <c r="B277" s="87" t="s">
        <v>22</v>
      </c>
      <c r="C277" s="114"/>
      <c r="D277" s="115"/>
      <c r="E277" s="262"/>
      <c r="F277" s="87" t="s">
        <v>22</v>
      </c>
      <c r="G277" s="263"/>
      <c r="H277" s="263"/>
    </row>
    <row r="280" spans="1:19" ht="22.5" x14ac:dyDescent="0.25">
      <c r="A280" s="88" t="s">
        <v>28</v>
      </c>
      <c r="B280" s="108" t="s">
        <v>112</v>
      </c>
      <c r="C280" s="89" t="s">
        <v>69</v>
      </c>
      <c r="D280" s="109">
        <v>6210</v>
      </c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</row>
    <row r="281" spans="1:19" x14ac:dyDescent="0.25">
      <c r="A281" s="110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1:19" x14ac:dyDescent="0.25">
      <c r="A282" s="306" t="s">
        <v>85</v>
      </c>
      <c r="B282" s="307"/>
      <c r="C282" s="306"/>
      <c r="D282" s="307"/>
      <c r="E282" s="307"/>
      <c r="F282" s="78"/>
      <c r="G282" s="79"/>
      <c r="H282" s="79"/>
      <c r="I282" s="79"/>
      <c r="J282" s="78"/>
      <c r="K282" s="78"/>
      <c r="L282" s="78"/>
    </row>
    <row r="283" spans="1:19" x14ac:dyDescent="0.25">
      <c r="A283" s="80"/>
      <c r="B283" s="80"/>
      <c r="C283" s="81"/>
      <c r="D283" s="80"/>
      <c r="E283" s="81"/>
      <c r="F283" s="81"/>
      <c r="G283" s="82"/>
      <c r="H283" s="82"/>
      <c r="I283" s="82"/>
      <c r="J283" s="80"/>
      <c r="K283" s="80"/>
      <c r="L283" s="80"/>
    </row>
    <row r="284" spans="1:19" x14ac:dyDescent="0.25">
      <c r="A284" s="262" t="s">
        <v>60</v>
      </c>
      <c r="B284" s="262" t="s">
        <v>61</v>
      </c>
      <c r="C284" s="262" t="s">
        <v>86</v>
      </c>
      <c r="D284" s="262" t="s">
        <v>87</v>
      </c>
      <c r="E284" s="262" t="s">
        <v>88</v>
      </c>
      <c r="F284" s="262" t="s">
        <v>463</v>
      </c>
      <c r="G284" s="262" t="s">
        <v>465</v>
      </c>
      <c r="H284" s="262" t="s">
        <v>62</v>
      </c>
      <c r="I284" s="262" t="s">
        <v>63</v>
      </c>
      <c r="J284" s="262" t="s">
        <v>64</v>
      </c>
      <c r="K284" s="262" t="s">
        <v>45</v>
      </c>
      <c r="L284" s="80"/>
    </row>
    <row r="285" spans="1:19" ht="54.6" customHeight="1" x14ac:dyDescent="0.25">
      <c r="A285" s="262"/>
      <c r="B285" s="262"/>
      <c r="C285" s="262"/>
      <c r="D285" s="262"/>
      <c r="E285" s="262"/>
      <c r="F285" s="262"/>
      <c r="G285" s="262"/>
      <c r="H285" s="262"/>
      <c r="I285" s="262"/>
      <c r="J285" s="262"/>
      <c r="K285" s="262"/>
      <c r="L285" s="80"/>
    </row>
    <row r="286" spans="1:19" x14ac:dyDescent="0.25">
      <c r="A286" s="262"/>
      <c r="B286" s="262"/>
      <c r="C286" s="262"/>
      <c r="D286" s="262"/>
      <c r="E286" s="262"/>
      <c r="F286" s="262"/>
      <c r="G286" s="262"/>
      <c r="H286" s="262"/>
      <c r="I286" s="262"/>
      <c r="J286" s="262"/>
      <c r="K286" s="262"/>
      <c r="L286" s="80"/>
    </row>
    <row r="287" spans="1:19" ht="15" customHeight="1" x14ac:dyDescent="0.25">
      <c r="A287" s="107"/>
      <c r="B287" s="107" t="s">
        <v>471</v>
      </c>
      <c r="C287" s="107">
        <v>1948</v>
      </c>
      <c r="D287" s="107">
        <v>2021</v>
      </c>
      <c r="E287" s="107">
        <v>2021</v>
      </c>
      <c r="F287" s="107">
        <v>1948</v>
      </c>
      <c r="G287" s="107">
        <v>1948</v>
      </c>
      <c r="H287" s="107">
        <v>1948</v>
      </c>
      <c r="I287" s="107">
        <v>1948</v>
      </c>
      <c r="J287" s="107">
        <v>1948</v>
      </c>
      <c r="K287" s="107"/>
    </row>
    <row r="288" spans="1:19" x14ac:dyDescent="0.2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91" spans="1:19" x14ac:dyDescent="0.25">
      <c r="A291" s="77" t="s">
        <v>89</v>
      </c>
      <c r="B291" s="78"/>
      <c r="C291" s="78"/>
      <c r="D291" s="78"/>
      <c r="E291" s="78"/>
      <c r="F291" s="78"/>
      <c r="G291" s="78"/>
      <c r="H291" s="79"/>
      <c r="I291" s="79"/>
      <c r="J291" s="78"/>
      <c r="K291" s="78"/>
      <c r="L291" s="78"/>
    </row>
    <row r="292" spans="1:19" ht="15.75" x14ac:dyDescent="0.25">
      <c r="A292" s="80"/>
      <c r="B292" s="80"/>
      <c r="C292" s="84"/>
      <c r="D292" s="85"/>
      <c r="E292" s="81"/>
      <c r="F292" s="81"/>
      <c r="G292" s="85"/>
      <c r="H292" s="86"/>
      <c r="I292" s="86"/>
      <c r="J292" s="80"/>
      <c r="K292" s="80"/>
      <c r="L292" s="80"/>
    </row>
    <row r="293" spans="1:19" x14ac:dyDescent="0.25">
      <c r="A293" s="262" t="s">
        <v>60</v>
      </c>
      <c r="B293" s="262" t="s">
        <v>61</v>
      </c>
      <c r="C293" s="262" t="s">
        <v>65</v>
      </c>
      <c r="D293" s="262" t="s">
        <v>86</v>
      </c>
      <c r="E293" s="262" t="s">
        <v>87</v>
      </c>
      <c r="F293" s="262" t="s">
        <v>90</v>
      </c>
      <c r="G293" s="262" t="s">
        <v>464</v>
      </c>
      <c r="H293" s="262" t="s">
        <v>465</v>
      </c>
      <c r="I293" s="262" t="s">
        <v>63</v>
      </c>
      <c r="J293" s="262" t="s">
        <v>62</v>
      </c>
      <c r="K293" s="262" t="s">
        <v>64</v>
      </c>
      <c r="L293" s="262" t="s">
        <v>45</v>
      </c>
    </row>
    <row r="294" spans="1:19" x14ac:dyDescent="0.25">
      <c r="A294" s="262"/>
      <c r="B294" s="262"/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</row>
    <row r="295" spans="1:19" ht="55.9" customHeight="1" x14ac:dyDescent="0.25">
      <c r="A295" s="262"/>
      <c r="B295" s="262"/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</row>
    <row r="296" spans="1:19" x14ac:dyDescent="0.2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</row>
    <row r="299" spans="1:19" ht="19.149999999999999" customHeight="1" x14ac:dyDescent="0.25">
      <c r="A299" s="262" t="s">
        <v>66</v>
      </c>
      <c r="B299" s="87" t="s">
        <v>20</v>
      </c>
      <c r="C299" s="114"/>
      <c r="D299" s="115"/>
      <c r="E299" s="262" t="s">
        <v>19</v>
      </c>
      <c r="F299" s="87" t="s">
        <v>20</v>
      </c>
      <c r="G299" s="263"/>
      <c r="H299" s="263"/>
    </row>
    <row r="300" spans="1:19" ht="21" customHeight="1" x14ac:dyDescent="0.25">
      <c r="A300" s="262"/>
      <c r="B300" s="87" t="s">
        <v>21</v>
      </c>
      <c r="C300" s="114"/>
      <c r="D300" s="115"/>
      <c r="E300" s="262"/>
      <c r="F300" s="87" t="s">
        <v>21</v>
      </c>
      <c r="G300" s="263"/>
      <c r="H300" s="263"/>
    </row>
    <row r="301" spans="1:19" ht="22.9" customHeight="1" x14ac:dyDescent="0.25">
      <c r="A301" s="262"/>
      <c r="B301" s="87" t="s">
        <v>22</v>
      </c>
      <c r="C301" s="114"/>
      <c r="D301" s="115"/>
      <c r="E301" s="262"/>
      <c r="F301" s="87" t="s">
        <v>22</v>
      </c>
      <c r="G301" s="263"/>
      <c r="H301" s="263"/>
    </row>
    <row r="304" spans="1:19" ht="22.5" x14ac:dyDescent="0.25">
      <c r="A304" s="88" t="s">
        <v>28</v>
      </c>
      <c r="B304" s="108" t="s">
        <v>113</v>
      </c>
      <c r="C304" s="89" t="s">
        <v>69</v>
      </c>
      <c r="D304" s="109">
        <v>10430</v>
      </c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</row>
    <row r="305" spans="1:19" x14ac:dyDescent="0.25">
      <c r="A305" s="110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1:19" x14ac:dyDescent="0.25">
      <c r="A306" s="306" t="s">
        <v>85</v>
      </c>
      <c r="B306" s="307"/>
      <c r="C306" s="306"/>
      <c r="D306" s="307"/>
      <c r="E306" s="307"/>
      <c r="F306" s="78"/>
      <c r="G306" s="79"/>
      <c r="H306" s="79"/>
      <c r="I306" s="79"/>
      <c r="J306" s="78"/>
      <c r="K306" s="78"/>
      <c r="L306" s="78"/>
    </row>
    <row r="307" spans="1:19" x14ac:dyDescent="0.25">
      <c r="A307" s="80"/>
      <c r="B307" s="80"/>
      <c r="C307" s="81"/>
      <c r="D307" s="80"/>
      <c r="E307" s="81"/>
      <c r="F307" s="81"/>
      <c r="G307" s="82"/>
      <c r="H307" s="82"/>
      <c r="I307" s="82"/>
      <c r="J307" s="80"/>
      <c r="K307" s="80"/>
      <c r="L307" s="80"/>
    </row>
    <row r="308" spans="1:19" x14ac:dyDescent="0.25">
      <c r="A308" s="262" t="s">
        <v>60</v>
      </c>
      <c r="B308" s="262" t="s">
        <v>61</v>
      </c>
      <c r="C308" s="262" t="s">
        <v>86</v>
      </c>
      <c r="D308" s="262" t="s">
        <v>87</v>
      </c>
      <c r="E308" s="262" t="s">
        <v>88</v>
      </c>
      <c r="F308" s="262" t="s">
        <v>463</v>
      </c>
      <c r="G308" s="262" t="s">
        <v>465</v>
      </c>
      <c r="H308" s="262" t="s">
        <v>62</v>
      </c>
      <c r="I308" s="262" t="s">
        <v>63</v>
      </c>
      <c r="J308" s="262" t="s">
        <v>64</v>
      </c>
      <c r="K308" s="262" t="s">
        <v>45</v>
      </c>
      <c r="L308" s="80"/>
    </row>
    <row r="309" spans="1:19" ht="54.6" customHeight="1" x14ac:dyDescent="0.25">
      <c r="A309" s="262"/>
      <c r="B309" s="262"/>
      <c r="C309" s="262"/>
      <c r="D309" s="262"/>
      <c r="E309" s="262"/>
      <c r="F309" s="262"/>
      <c r="G309" s="262"/>
      <c r="H309" s="262"/>
      <c r="I309" s="262"/>
      <c r="J309" s="262"/>
      <c r="K309" s="262"/>
      <c r="L309" s="80"/>
    </row>
    <row r="310" spans="1:19" x14ac:dyDescent="0.25">
      <c r="A310" s="262"/>
      <c r="B310" s="262"/>
      <c r="C310" s="262"/>
      <c r="D310" s="262"/>
      <c r="E310" s="262"/>
      <c r="F310" s="262"/>
      <c r="G310" s="262"/>
      <c r="H310" s="262"/>
      <c r="I310" s="262"/>
      <c r="J310" s="262"/>
      <c r="K310" s="262"/>
      <c r="L310" s="80"/>
    </row>
    <row r="311" spans="1:19" ht="15" customHeight="1" x14ac:dyDescent="0.25">
      <c r="A311" s="107">
        <v>1370346</v>
      </c>
      <c r="B311" s="107" t="s">
        <v>336</v>
      </c>
      <c r="C311" s="107">
        <v>1017</v>
      </c>
      <c r="D311" s="107">
        <v>2021</v>
      </c>
      <c r="E311" s="107">
        <v>2021</v>
      </c>
      <c r="F311" s="107">
        <v>1017</v>
      </c>
      <c r="G311" s="107">
        <v>1017</v>
      </c>
      <c r="H311" s="107">
        <v>1013</v>
      </c>
      <c r="I311" s="107">
        <v>1013</v>
      </c>
      <c r="J311" s="107">
        <v>1013</v>
      </c>
      <c r="K311" s="107"/>
    </row>
    <row r="312" spans="1:19" ht="15" customHeight="1" x14ac:dyDescent="0.25">
      <c r="A312" s="107">
        <v>1370347</v>
      </c>
      <c r="B312" s="107" t="s">
        <v>472</v>
      </c>
      <c r="C312" s="107">
        <v>692</v>
      </c>
      <c r="D312" s="107">
        <v>2021</v>
      </c>
      <c r="E312" s="107">
        <v>2021</v>
      </c>
      <c r="F312" s="107">
        <v>692</v>
      </c>
      <c r="G312" s="107">
        <v>692</v>
      </c>
      <c r="H312" s="107">
        <v>10</v>
      </c>
      <c r="I312" s="107">
        <v>10</v>
      </c>
      <c r="J312" s="107">
        <v>10</v>
      </c>
      <c r="K312" s="107"/>
    </row>
    <row r="315" spans="1:19" x14ac:dyDescent="0.25">
      <c r="A315" s="77" t="s">
        <v>89</v>
      </c>
      <c r="B315" s="78"/>
      <c r="C315" s="78"/>
      <c r="D315" s="78"/>
      <c r="E315" s="78"/>
      <c r="F315" s="78"/>
      <c r="G315" s="78"/>
      <c r="H315" s="79"/>
      <c r="I315" s="79"/>
      <c r="J315" s="78"/>
      <c r="K315" s="78"/>
      <c r="L315" s="78"/>
    </row>
    <row r="316" spans="1:19" ht="15.75" x14ac:dyDescent="0.25">
      <c r="A316" s="80"/>
      <c r="B316" s="80"/>
      <c r="C316" s="84"/>
      <c r="D316" s="85"/>
      <c r="E316" s="81"/>
      <c r="F316" s="81"/>
      <c r="G316" s="85"/>
      <c r="H316" s="86"/>
      <c r="I316" s="86"/>
      <c r="J316" s="80"/>
      <c r="K316" s="80"/>
      <c r="L316" s="80"/>
    </row>
    <row r="317" spans="1:19" x14ac:dyDescent="0.25">
      <c r="A317" s="262" t="s">
        <v>60</v>
      </c>
      <c r="B317" s="262" t="s">
        <v>61</v>
      </c>
      <c r="C317" s="262" t="s">
        <v>65</v>
      </c>
      <c r="D317" s="262" t="s">
        <v>86</v>
      </c>
      <c r="E317" s="262" t="s">
        <v>87</v>
      </c>
      <c r="F317" s="262" t="s">
        <v>90</v>
      </c>
      <c r="G317" s="262" t="s">
        <v>464</v>
      </c>
      <c r="H317" s="262" t="s">
        <v>465</v>
      </c>
      <c r="I317" s="262" t="s">
        <v>63</v>
      </c>
      <c r="J317" s="262" t="s">
        <v>62</v>
      </c>
      <c r="K317" s="262" t="s">
        <v>64</v>
      </c>
      <c r="L317" s="262" t="s">
        <v>45</v>
      </c>
    </row>
    <row r="318" spans="1:19" x14ac:dyDescent="0.25">
      <c r="A318" s="262"/>
      <c r="B318" s="262"/>
      <c r="C318" s="262"/>
      <c r="D318" s="262"/>
      <c r="E318" s="262"/>
      <c r="F318" s="262"/>
      <c r="G318" s="262"/>
      <c r="H318" s="262"/>
      <c r="I318" s="262"/>
      <c r="J318" s="262"/>
      <c r="K318" s="262"/>
      <c r="L318" s="262"/>
    </row>
    <row r="319" spans="1:19" ht="55.9" customHeight="1" x14ac:dyDescent="0.25">
      <c r="A319" s="262"/>
      <c r="B319" s="262"/>
      <c r="C319" s="262"/>
      <c r="D319" s="262"/>
      <c r="E319" s="262"/>
      <c r="F319" s="262"/>
      <c r="G319" s="262"/>
      <c r="H319" s="262"/>
      <c r="I319" s="262"/>
      <c r="J319" s="262"/>
      <c r="K319" s="262"/>
      <c r="L319" s="262"/>
    </row>
    <row r="320" spans="1:19" x14ac:dyDescent="0.2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</row>
    <row r="323" spans="1:19" ht="19.149999999999999" customHeight="1" x14ac:dyDescent="0.25">
      <c r="A323" s="262" t="s">
        <v>66</v>
      </c>
      <c r="B323" s="87" t="s">
        <v>20</v>
      </c>
      <c r="C323" s="114"/>
      <c r="D323" s="115"/>
      <c r="E323" s="262" t="s">
        <v>19</v>
      </c>
      <c r="F323" s="87" t="s">
        <v>20</v>
      </c>
      <c r="G323" s="263"/>
      <c r="H323" s="263"/>
    </row>
    <row r="324" spans="1:19" ht="21" customHeight="1" x14ac:dyDescent="0.25">
      <c r="A324" s="262"/>
      <c r="B324" s="87" t="s">
        <v>21</v>
      </c>
      <c r="C324" s="114"/>
      <c r="D324" s="115"/>
      <c r="E324" s="262"/>
      <c r="F324" s="87" t="s">
        <v>21</v>
      </c>
      <c r="G324" s="263"/>
      <c r="H324" s="263"/>
    </row>
    <row r="325" spans="1:19" ht="22.9" customHeight="1" x14ac:dyDescent="0.25">
      <c r="A325" s="262"/>
      <c r="B325" s="87" t="s">
        <v>22</v>
      </c>
      <c r="C325" s="114"/>
      <c r="D325" s="115"/>
      <c r="E325" s="262"/>
      <c r="F325" s="87" t="s">
        <v>22</v>
      </c>
      <c r="G325" s="263"/>
      <c r="H325" s="263"/>
    </row>
    <row r="328" spans="1:19" s="208" customFormat="1" ht="22.5" x14ac:dyDescent="0.25">
      <c r="A328" s="88" t="s">
        <v>28</v>
      </c>
      <c r="B328" s="108" t="s">
        <v>103</v>
      </c>
      <c r="C328" s="89" t="s">
        <v>69</v>
      </c>
      <c r="D328" s="109">
        <v>6370</v>
      </c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</row>
    <row r="329" spans="1:19" s="208" customFormat="1" x14ac:dyDescent="0.25">
      <c r="A329" s="110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s="208" customFormat="1" x14ac:dyDescent="0.25">
      <c r="A330" s="306" t="s">
        <v>85</v>
      </c>
      <c r="B330" s="307"/>
      <c r="C330" s="306"/>
      <c r="D330" s="307"/>
      <c r="E330" s="307"/>
      <c r="F330" s="78"/>
      <c r="G330" s="210"/>
      <c r="H330" s="210"/>
      <c r="I330" s="210"/>
      <c r="J330" s="78"/>
      <c r="K330" s="78"/>
      <c r="L330" s="78"/>
    </row>
    <row r="331" spans="1:19" s="208" customFormat="1" x14ac:dyDescent="0.25">
      <c r="A331" s="80"/>
      <c r="B331" s="80"/>
      <c r="C331" s="81"/>
      <c r="D331" s="80"/>
      <c r="E331" s="81"/>
      <c r="F331" s="81"/>
      <c r="G331" s="82"/>
      <c r="H331" s="82"/>
      <c r="I331" s="82"/>
      <c r="J331" s="80"/>
      <c r="K331" s="80"/>
      <c r="L331" s="80"/>
    </row>
    <row r="332" spans="1:19" s="208" customFormat="1" x14ac:dyDescent="0.25">
      <c r="A332" s="262" t="s">
        <v>60</v>
      </c>
      <c r="B332" s="262" t="s">
        <v>61</v>
      </c>
      <c r="C332" s="262" t="s">
        <v>86</v>
      </c>
      <c r="D332" s="262" t="s">
        <v>87</v>
      </c>
      <c r="E332" s="262" t="s">
        <v>88</v>
      </c>
      <c r="F332" s="262" t="s">
        <v>463</v>
      </c>
      <c r="G332" s="262" t="s">
        <v>465</v>
      </c>
      <c r="H332" s="262" t="s">
        <v>62</v>
      </c>
      <c r="I332" s="262" t="s">
        <v>63</v>
      </c>
      <c r="J332" s="262" t="s">
        <v>64</v>
      </c>
      <c r="K332" s="262" t="s">
        <v>45</v>
      </c>
      <c r="L332" s="80"/>
    </row>
    <row r="333" spans="1:19" s="208" customFormat="1" ht="54.6" customHeight="1" x14ac:dyDescent="0.25">
      <c r="A333" s="262"/>
      <c r="B333" s="262"/>
      <c r="C333" s="262"/>
      <c r="D333" s="262"/>
      <c r="E333" s="262"/>
      <c r="F333" s="262"/>
      <c r="G333" s="262"/>
      <c r="H333" s="262"/>
      <c r="I333" s="262"/>
      <c r="J333" s="262"/>
      <c r="K333" s="262"/>
      <c r="L333" s="80"/>
    </row>
    <row r="334" spans="1:19" s="208" customFormat="1" x14ac:dyDescent="0.25">
      <c r="A334" s="262"/>
      <c r="B334" s="262"/>
      <c r="C334" s="262"/>
      <c r="D334" s="262"/>
      <c r="E334" s="262"/>
      <c r="F334" s="262"/>
      <c r="G334" s="262"/>
      <c r="H334" s="262"/>
      <c r="I334" s="262"/>
      <c r="J334" s="262"/>
      <c r="K334" s="262"/>
      <c r="L334" s="80"/>
    </row>
    <row r="335" spans="1:19" s="208" customFormat="1" ht="15" customHeight="1" x14ac:dyDescent="0.25">
      <c r="A335" s="107"/>
      <c r="B335" s="107" t="s">
        <v>473</v>
      </c>
      <c r="C335" s="107">
        <v>270088</v>
      </c>
      <c r="D335" s="107">
        <v>2021</v>
      </c>
      <c r="E335" s="107">
        <v>2024</v>
      </c>
      <c r="F335" s="107">
        <v>126409</v>
      </c>
      <c r="G335" s="107">
        <v>126409</v>
      </c>
      <c r="H335" s="107">
        <v>126246</v>
      </c>
      <c r="I335" s="107">
        <v>126246</v>
      </c>
      <c r="J335" s="107">
        <v>126246</v>
      </c>
      <c r="K335" s="107"/>
    </row>
    <row r="336" spans="1:19" s="208" customFormat="1" x14ac:dyDescent="0.25"/>
    <row r="337" spans="1:12" s="208" customFormat="1" x14ac:dyDescent="0.25"/>
    <row r="338" spans="1:12" s="208" customFormat="1" x14ac:dyDescent="0.25">
      <c r="A338" s="77" t="s">
        <v>89</v>
      </c>
      <c r="B338" s="78"/>
      <c r="C338" s="78"/>
      <c r="D338" s="78"/>
      <c r="E338" s="78"/>
      <c r="F338" s="78"/>
      <c r="G338" s="78"/>
      <c r="H338" s="210"/>
      <c r="I338" s="210"/>
      <c r="J338" s="78"/>
      <c r="K338" s="78"/>
      <c r="L338" s="78"/>
    </row>
    <row r="339" spans="1:12" s="208" customFormat="1" ht="15.75" x14ac:dyDescent="0.25">
      <c r="A339" s="80"/>
      <c r="B339" s="80"/>
      <c r="C339" s="84"/>
      <c r="D339" s="85"/>
      <c r="E339" s="81"/>
      <c r="F339" s="81"/>
      <c r="G339" s="85"/>
      <c r="H339" s="86"/>
      <c r="I339" s="86"/>
      <c r="J339" s="80"/>
      <c r="K339" s="80"/>
      <c r="L339" s="80"/>
    </row>
    <row r="340" spans="1:12" s="208" customFormat="1" x14ac:dyDescent="0.25">
      <c r="A340" s="262" t="s">
        <v>60</v>
      </c>
      <c r="B340" s="262" t="s">
        <v>61</v>
      </c>
      <c r="C340" s="262" t="s">
        <v>65</v>
      </c>
      <c r="D340" s="262" t="s">
        <v>86</v>
      </c>
      <c r="E340" s="262" t="s">
        <v>87</v>
      </c>
      <c r="F340" s="262" t="s">
        <v>90</v>
      </c>
      <c r="G340" s="262" t="s">
        <v>464</v>
      </c>
      <c r="H340" s="262" t="s">
        <v>465</v>
      </c>
      <c r="I340" s="262" t="s">
        <v>63</v>
      </c>
      <c r="J340" s="262" t="s">
        <v>62</v>
      </c>
      <c r="K340" s="262" t="s">
        <v>64</v>
      </c>
      <c r="L340" s="262" t="s">
        <v>45</v>
      </c>
    </row>
    <row r="341" spans="1:12" s="208" customFormat="1" x14ac:dyDescent="0.25">
      <c r="A341" s="262"/>
      <c r="B341" s="262"/>
      <c r="C341" s="262"/>
      <c r="D341" s="262"/>
      <c r="E341" s="262"/>
      <c r="F341" s="262"/>
      <c r="G341" s="262"/>
      <c r="H341" s="262"/>
      <c r="I341" s="262"/>
      <c r="J341" s="262"/>
      <c r="K341" s="262"/>
      <c r="L341" s="262"/>
    </row>
    <row r="342" spans="1:12" s="208" customFormat="1" ht="55.9" customHeight="1" x14ac:dyDescent="0.25">
      <c r="A342" s="262"/>
      <c r="B342" s="262"/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</row>
    <row r="343" spans="1:12" s="208" customFormat="1" x14ac:dyDescent="0.2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</row>
    <row r="344" spans="1:12" s="208" customFormat="1" x14ac:dyDescent="0.25"/>
    <row r="345" spans="1:12" s="208" customFormat="1" x14ac:dyDescent="0.25"/>
    <row r="346" spans="1:12" s="208" customFormat="1" ht="19.149999999999999" customHeight="1" x14ac:dyDescent="0.25">
      <c r="A346" s="262" t="s">
        <v>66</v>
      </c>
      <c r="B346" s="207" t="s">
        <v>20</v>
      </c>
      <c r="C346" s="114"/>
      <c r="D346" s="115"/>
      <c r="E346" s="262" t="s">
        <v>19</v>
      </c>
      <c r="F346" s="207" t="s">
        <v>20</v>
      </c>
      <c r="G346" s="263"/>
      <c r="H346" s="263"/>
    </row>
    <row r="347" spans="1:12" s="208" customFormat="1" ht="21" customHeight="1" x14ac:dyDescent="0.25">
      <c r="A347" s="262"/>
      <c r="B347" s="207" t="s">
        <v>21</v>
      </c>
      <c r="C347" s="114"/>
      <c r="D347" s="115"/>
      <c r="E347" s="262"/>
      <c r="F347" s="207" t="s">
        <v>21</v>
      </c>
      <c r="G347" s="263"/>
      <c r="H347" s="263"/>
    </row>
    <row r="348" spans="1:12" s="208" customFormat="1" ht="22.9" customHeight="1" x14ac:dyDescent="0.25">
      <c r="A348" s="262"/>
      <c r="B348" s="207" t="s">
        <v>22</v>
      </c>
      <c r="C348" s="114"/>
      <c r="D348" s="115"/>
      <c r="E348" s="262"/>
      <c r="F348" s="207" t="s">
        <v>22</v>
      </c>
      <c r="G348" s="263"/>
      <c r="H348" s="263"/>
    </row>
  </sheetData>
  <mergeCells count="377">
    <mergeCell ref="L340:L342"/>
    <mergeCell ref="A346:A348"/>
    <mergeCell ref="E346:E348"/>
    <mergeCell ref="G346:H346"/>
    <mergeCell ref="G347:H347"/>
    <mergeCell ref="G348:H348"/>
    <mergeCell ref="I332:I334"/>
    <mergeCell ref="J332:J334"/>
    <mergeCell ref="K332:K334"/>
    <mergeCell ref="A340:A342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J340:J342"/>
    <mergeCell ref="K340:K342"/>
    <mergeCell ref="A330:E330"/>
    <mergeCell ref="A332:A334"/>
    <mergeCell ref="B332:B334"/>
    <mergeCell ref="C332:C334"/>
    <mergeCell ref="D332:D334"/>
    <mergeCell ref="E332:E334"/>
    <mergeCell ref="F332:F334"/>
    <mergeCell ref="G332:G334"/>
    <mergeCell ref="H332:H334"/>
    <mergeCell ref="A5:E5"/>
    <mergeCell ref="A7:A9"/>
    <mergeCell ref="B7:B9"/>
    <mergeCell ref="C7:C9"/>
    <mergeCell ref="D7:D9"/>
    <mergeCell ref="J7:J9"/>
    <mergeCell ref="K7:K9"/>
    <mergeCell ref="A17:A19"/>
    <mergeCell ref="B17:B19"/>
    <mergeCell ref="C17:C19"/>
    <mergeCell ref="D17:D19"/>
    <mergeCell ref="F17:F19"/>
    <mergeCell ref="E17:E19"/>
    <mergeCell ref="G17:G19"/>
    <mergeCell ref="H17:H19"/>
    <mergeCell ref="I17:I19"/>
    <mergeCell ref="J17:J19"/>
    <mergeCell ref="K17:K19"/>
    <mergeCell ref="F7:F9"/>
    <mergeCell ref="E7:E9"/>
    <mergeCell ref="G7:G9"/>
    <mergeCell ref="H7:H9"/>
    <mergeCell ref="I7:I9"/>
    <mergeCell ref="A30:E30"/>
    <mergeCell ref="A32:A34"/>
    <mergeCell ref="B32:B34"/>
    <mergeCell ref="C32:C34"/>
    <mergeCell ref="D32:D34"/>
    <mergeCell ref="L17:L19"/>
    <mergeCell ref="A23:A25"/>
    <mergeCell ref="E23:E25"/>
    <mergeCell ref="G23:H23"/>
    <mergeCell ref="G24:H24"/>
    <mergeCell ref="G25:H25"/>
    <mergeCell ref="J32:J34"/>
    <mergeCell ref="K32:K34"/>
    <mergeCell ref="J42:J44"/>
    <mergeCell ref="K42:K44"/>
    <mergeCell ref="F32:F34"/>
    <mergeCell ref="E32:E34"/>
    <mergeCell ref="G32:G34"/>
    <mergeCell ref="H32:H34"/>
    <mergeCell ref="I32:I34"/>
    <mergeCell ref="A42:A44"/>
    <mergeCell ref="B42:B44"/>
    <mergeCell ref="C42:C44"/>
    <mergeCell ref="D42:D44"/>
    <mergeCell ref="F42:F44"/>
    <mergeCell ref="E42:E44"/>
    <mergeCell ref="G42:G44"/>
    <mergeCell ref="H42:H44"/>
    <mergeCell ref="I42:I44"/>
    <mergeCell ref="L42:L44"/>
    <mergeCell ref="A48:A50"/>
    <mergeCell ref="E48:E50"/>
    <mergeCell ref="G48:H48"/>
    <mergeCell ref="G49:H49"/>
    <mergeCell ref="G50:H50"/>
    <mergeCell ref="A55:E55"/>
    <mergeCell ref="A57:A59"/>
    <mergeCell ref="B57:B59"/>
    <mergeCell ref="C57:C59"/>
    <mergeCell ref="D57:D59"/>
    <mergeCell ref="J57:J59"/>
    <mergeCell ref="K57:K59"/>
    <mergeCell ref="J66:J68"/>
    <mergeCell ref="K66:K68"/>
    <mergeCell ref="F57:F59"/>
    <mergeCell ref="E57:E59"/>
    <mergeCell ref="G57:G59"/>
    <mergeCell ref="H57:H59"/>
    <mergeCell ref="I57:I59"/>
    <mergeCell ref="A79:E79"/>
    <mergeCell ref="A81:A83"/>
    <mergeCell ref="B81:B83"/>
    <mergeCell ref="C81:C83"/>
    <mergeCell ref="D81:D83"/>
    <mergeCell ref="A66:A68"/>
    <mergeCell ref="B66:B68"/>
    <mergeCell ref="C66:C68"/>
    <mergeCell ref="D66:D68"/>
    <mergeCell ref="F66:F68"/>
    <mergeCell ref="E66:E68"/>
    <mergeCell ref="G66:G68"/>
    <mergeCell ref="H66:H68"/>
    <mergeCell ref="I66:I68"/>
    <mergeCell ref="L66:L68"/>
    <mergeCell ref="A72:A74"/>
    <mergeCell ref="E72:E74"/>
    <mergeCell ref="G72:H72"/>
    <mergeCell ref="G73:H73"/>
    <mergeCell ref="G74:H74"/>
    <mergeCell ref="J81:J83"/>
    <mergeCell ref="K81:K83"/>
    <mergeCell ref="A90:A92"/>
    <mergeCell ref="B90:B92"/>
    <mergeCell ref="C90:C92"/>
    <mergeCell ref="D90:D92"/>
    <mergeCell ref="F90:F92"/>
    <mergeCell ref="E90:E92"/>
    <mergeCell ref="G90:G92"/>
    <mergeCell ref="H90:H92"/>
    <mergeCell ref="I90:I92"/>
    <mergeCell ref="J90:J92"/>
    <mergeCell ref="K90:K92"/>
    <mergeCell ref="F81:F83"/>
    <mergeCell ref="E81:E83"/>
    <mergeCell ref="G81:G83"/>
    <mergeCell ref="H81:H83"/>
    <mergeCell ref="I81:I83"/>
    <mergeCell ref="L90:L92"/>
    <mergeCell ref="A96:A98"/>
    <mergeCell ref="E96:E98"/>
    <mergeCell ref="G96:H96"/>
    <mergeCell ref="G97:H97"/>
    <mergeCell ref="G98:H98"/>
    <mergeCell ref="A103:E103"/>
    <mergeCell ref="A105:A107"/>
    <mergeCell ref="B105:B107"/>
    <mergeCell ref="C105:C107"/>
    <mergeCell ref="D105:D107"/>
    <mergeCell ref="J105:J107"/>
    <mergeCell ref="K105:K107"/>
    <mergeCell ref="A131:A133"/>
    <mergeCell ref="B131:B133"/>
    <mergeCell ref="C131:C133"/>
    <mergeCell ref="D131:D133"/>
    <mergeCell ref="F131:F133"/>
    <mergeCell ref="E131:E133"/>
    <mergeCell ref="G131:G133"/>
    <mergeCell ref="H131:H133"/>
    <mergeCell ref="I131:I133"/>
    <mergeCell ref="J131:J133"/>
    <mergeCell ref="K131:K133"/>
    <mergeCell ref="F105:F107"/>
    <mergeCell ref="E105:E107"/>
    <mergeCell ref="G105:G107"/>
    <mergeCell ref="H105:H107"/>
    <mergeCell ref="I105:I107"/>
    <mergeCell ref="L131:L133"/>
    <mergeCell ref="A137:A139"/>
    <mergeCell ref="E137:E139"/>
    <mergeCell ref="G137:H137"/>
    <mergeCell ref="G138:H138"/>
    <mergeCell ref="G139:H139"/>
    <mergeCell ref="A144:E144"/>
    <mergeCell ref="A146:A148"/>
    <mergeCell ref="B146:B148"/>
    <mergeCell ref="C146:C148"/>
    <mergeCell ref="D146:D148"/>
    <mergeCell ref="J146:J148"/>
    <mergeCell ref="K146:K148"/>
    <mergeCell ref="A170:A172"/>
    <mergeCell ref="B170:B172"/>
    <mergeCell ref="C170:C172"/>
    <mergeCell ref="D170:D172"/>
    <mergeCell ref="F170:F172"/>
    <mergeCell ref="E170:E172"/>
    <mergeCell ref="G170:G172"/>
    <mergeCell ref="H170:H172"/>
    <mergeCell ref="I170:I172"/>
    <mergeCell ref="J170:J172"/>
    <mergeCell ref="K170:K172"/>
    <mergeCell ref="F146:F148"/>
    <mergeCell ref="E146:E148"/>
    <mergeCell ref="G146:G148"/>
    <mergeCell ref="H146:H148"/>
    <mergeCell ref="I146:I148"/>
    <mergeCell ref="A183:E183"/>
    <mergeCell ref="A185:A187"/>
    <mergeCell ref="B185:B187"/>
    <mergeCell ref="C185:C187"/>
    <mergeCell ref="D185:D187"/>
    <mergeCell ref="L170:L172"/>
    <mergeCell ref="A176:A178"/>
    <mergeCell ref="E176:E178"/>
    <mergeCell ref="G176:H176"/>
    <mergeCell ref="G177:H177"/>
    <mergeCell ref="G178:H178"/>
    <mergeCell ref="J185:J187"/>
    <mergeCell ref="K185:K187"/>
    <mergeCell ref="J195:J197"/>
    <mergeCell ref="K195:K197"/>
    <mergeCell ref="F185:F187"/>
    <mergeCell ref="E185:E187"/>
    <mergeCell ref="G185:G187"/>
    <mergeCell ref="H185:H187"/>
    <mergeCell ref="I185:I187"/>
    <mergeCell ref="A195:A197"/>
    <mergeCell ref="B195:B197"/>
    <mergeCell ref="C195:C197"/>
    <mergeCell ref="D195:D197"/>
    <mergeCell ref="F195:F197"/>
    <mergeCell ref="E195:E197"/>
    <mergeCell ref="G195:G197"/>
    <mergeCell ref="H195:H197"/>
    <mergeCell ref="I195:I197"/>
    <mergeCell ref="L195:L197"/>
    <mergeCell ref="A201:A203"/>
    <mergeCell ref="E201:E203"/>
    <mergeCell ref="G201:H201"/>
    <mergeCell ref="G202:H202"/>
    <mergeCell ref="G203:H203"/>
    <mergeCell ref="A208:E208"/>
    <mergeCell ref="A210:A212"/>
    <mergeCell ref="B210:B212"/>
    <mergeCell ref="C210:C212"/>
    <mergeCell ref="D210:D212"/>
    <mergeCell ref="J210:J212"/>
    <mergeCell ref="K210:K212"/>
    <mergeCell ref="J220:J222"/>
    <mergeCell ref="K220:K222"/>
    <mergeCell ref="F210:F212"/>
    <mergeCell ref="E210:E212"/>
    <mergeCell ref="G210:G212"/>
    <mergeCell ref="H210:H212"/>
    <mergeCell ref="I210:I212"/>
    <mergeCell ref="A233:E233"/>
    <mergeCell ref="A235:A237"/>
    <mergeCell ref="B235:B237"/>
    <mergeCell ref="C235:C237"/>
    <mergeCell ref="D235:D237"/>
    <mergeCell ref="A220:A222"/>
    <mergeCell ref="B220:B222"/>
    <mergeCell ref="C220:C222"/>
    <mergeCell ref="D220:D222"/>
    <mergeCell ref="F220:F222"/>
    <mergeCell ref="E220:E222"/>
    <mergeCell ref="G220:G222"/>
    <mergeCell ref="H220:H222"/>
    <mergeCell ref="I220:I222"/>
    <mergeCell ref="L220:L222"/>
    <mergeCell ref="A226:A228"/>
    <mergeCell ref="E226:E228"/>
    <mergeCell ref="G226:H226"/>
    <mergeCell ref="G227:H227"/>
    <mergeCell ref="G228:H228"/>
    <mergeCell ref="J235:J237"/>
    <mergeCell ref="K235:K237"/>
    <mergeCell ref="A244:A246"/>
    <mergeCell ref="B244:B246"/>
    <mergeCell ref="C244:C246"/>
    <mergeCell ref="D244:D246"/>
    <mergeCell ref="F244:F246"/>
    <mergeCell ref="E244:E246"/>
    <mergeCell ref="G244:G246"/>
    <mergeCell ref="H244:H246"/>
    <mergeCell ref="I244:I246"/>
    <mergeCell ref="J244:J246"/>
    <mergeCell ref="K244:K246"/>
    <mergeCell ref="F235:F237"/>
    <mergeCell ref="E235:E237"/>
    <mergeCell ref="G235:G237"/>
    <mergeCell ref="H235:H237"/>
    <mergeCell ref="I235:I237"/>
    <mergeCell ref="A257:E257"/>
    <mergeCell ref="A259:A261"/>
    <mergeCell ref="B259:B261"/>
    <mergeCell ref="C259:C261"/>
    <mergeCell ref="D259:D261"/>
    <mergeCell ref="L244:L246"/>
    <mergeCell ref="A250:A252"/>
    <mergeCell ref="E250:E252"/>
    <mergeCell ref="G250:H250"/>
    <mergeCell ref="G251:H251"/>
    <mergeCell ref="G252:H252"/>
    <mergeCell ref="J259:J261"/>
    <mergeCell ref="K259:K261"/>
    <mergeCell ref="J269:J271"/>
    <mergeCell ref="K269:K271"/>
    <mergeCell ref="F259:F261"/>
    <mergeCell ref="E259:E261"/>
    <mergeCell ref="G259:G261"/>
    <mergeCell ref="H259:H261"/>
    <mergeCell ref="I259:I261"/>
    <mergeCell ref="A282:E282"/>
    <mergeCell ref="A284:A286"/>
    <mergeCell ref="B284:B286"/>
    <mergeCell ref="C284:C286"/>
    <mergeCell ref="D284:D286"/>
    <mergeCell ref="A269:A271"/>
    <mergeCell ref="B269:B271"/>
    <mergeCell ref="C269:C271"/>
    <mergeCell ref="D269:D271"/>
    <mergeCell ref="F269:F271"/>
    <mergeCell ref="E269:E271"/>
    <mergeCell ref="G269:G271"/>
    <mergeCell ref="H269:H271"/>
    <mergeCell ref="I269:I271"/>
    <mergeCell ref="L269:L271"/>
    <mergeCell ref="A275:A277"/>
    <mergeCell ref="E275:E277"/>
    <mergeCell ref="G275:H275"/>
    <mergeCell ref="G276:H276"/>
    <mergeCell ref="G277:H277"/>
    <mergeCell ref="J284:J286"/>
    <mergeCell ref="K284:K286"/>
    <mergeCell ref="A293:A295"/>
    <mergeCell ref="B293:B295"/>
    <mergeCell ref="C293:C295"/>
    <mergeCell ref="D293:D295"/>
    <mergeCell ref="F293:F295"/>
    <mergeCell ref="E293:E295"/>
    <mergeCell ref="G293:G295"/>
    <mergeCell ref="H293:H295"/>
    <mergeCell ref="I293:I295"/>
    <mergeCell ref="J293:J295"/>
    <mergeCell ref="K293:K295"/>
    <mergeCell ref="F284:F286"/>
    <mergeCell ref="E284:E286"/>
    <mergeCell ref="G284:G286"/>
    <mergeCell ref="H284:H286"/>
    <mergeCell ref="I284:I286"/>
    <mergeCell ref="A306:E306"/>
    <mergeCell ref="A308:A310"/>
    <mergeCell ref="B308:B310"/>
    <mergeCell ref="C308:C310"/>
    <mergeCell ref="D308:D310"/>
    <mergeCell ref="L293:L295"/>
    <mergeCell ref="A299:A301"/>
    <mergeCell ref="E299:E301"/>
    <mergeCell ref="G299:H299"/>
    <mergeCell ref="G300:H300"/>
    <mergeCell ref="G301:H301"/>
    <mergeCell ref="L317:L319"/>
    <mergeCell ref="A323:A325"/>
    <mergeCell ref="E323:E325"/>
    <mergeCell ref="G323:H323"/>
    <mergeCell ref="G324:H324"/>
    <mergeCell ref="G325:H325"/>
    <mergeCell ref="J308:J310"/>
    <mergeCell ref="K308:K310"/>
    <mergeCell ref="A317:A319"/>
    <mergeCell ref="B317:B319"/>
    <mergeCell ref="C317:C319"/>
    <mergeCell ref="D317:D319"/>
    <mergeCell ref="F317:F319"/>
    <mergeCell ref="E317:E319"/>
    <mergeCell ref="G317:G319"/>
    <mergeCell ref="H317:H319"/>
    <mergeCell ref="I317:I319"/>
    <mergeCell ref="J317:J319"/>
    <mergeCell ref="K317:K319"/>
    <mergeCell ref="F308:F310"/>
    <mergeCell ref="E308:E310"/>
    <mergeCell ref="G308:G310"/>
    <mergeCell ref="H308:H310"/>
    <mergeCell ref="I308:I310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Aneksi 1</vt:lpstr>
      <vt:lpstr>Aneksi 2</vt:lpstr>
      <vt:lpstr>Aneksi 3</vt:lpstr>
      <vt:lpstr>Aneksi 4</vt:lpstr>
      <vt:lpstr>Aneksi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SmartProcesses</dc:creator>
  <cp:lastModifiedBy>Odeta</cp:lastModifiedBy>
  <cp:lastPrinted>2022-02-17T08:20:49Z</cp:lastPrinted>
  <dcterms:created xsi:type="dcterms:W3CDTF">2020-02-17T11:48:19Z</dcterms:created>
  <dcterms:modified xsi:type="dcterms:W3CDTF">2022-02-21T16:49:13Z</dcterms:modified>
</cp:coreProperties>
</file>